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WLzbDg1DBzfO9rKiZ2PBf9ZnBpSMD6gDIx7n7HCpvJBo0A/gnDXNWgXQueBgK7FcCFxcNyIi3NMQ640eY3YuTg==" workbookSaltValue="se1LeCaL6/ECpBFHsLiTp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A13" i="3"/>
  <c r="C13" i="3"/>
  <c r="D13" i="3"/>
  <c r="F13" i="3"/>
  <c r="H13" i="3"/>
  <c r="A14" i="3"/>
  <c r="A15" i="3"/>
  <c r="A16" i="3"/>
  <c r="C16" i="3"/>
  <c r="D16" i="3"/>
  <c r="F16" i="3"/>
  <c r="H16" i="3"/>
  <c r="A17" i="3"/>
  <c r="C17" i="3"/>
  <c r="D17" i="3"/>
  <c r="F17" i="3"/>
  <c r="G17" i="3" s="1"/>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14" i="2"/>
  <c r="N14" i="2"/>
  <c r="N23" i="2"/>
  <c r="F30" i="17"/>
  <c r="F14" i="7"/>
  <c r="T14" i="16"/>
  <c r="BJ10" i="11"/>
  <c r="Q16" i="17"/>
  <c r="BF16" i="11"/>
  <c r="BL22" i="11"/>
  <c r="BI22" i="11"/>
  <c r="BK10" i="11"/>
  <c r="T14" i="20"/>
  <c r="BF25" i="8"/>
  <c r="AY14" i="8"/>
  <c r="BD9" i="8"/>
  <c r="BF9" i="8"/>
  <c r="L22" i="2"/>
  <c r="C30" i="7"/>
  <c r="L16" i="2"/>
  <c r="X19" i="16"/>
  <c r="AO14" i="21"/>
  <c r="AA11" i="16"/>
  <c r="AP14" i="16"/>
  <c r="V25" i="16"/>
  <c r="X13" i="16"/>
  <c r="T23" i="17"/>
  <c r="T26" i="17" s="1"/>
  <c r="T30" i="17" s="1"/>
  <c r="BG16" i="13"/>
  <c r="BE17" i="13"/>
  <c r="BE16" i="13"/>
  <c r="X32" i="20"/>
  <c r="G30" i="14"/>
  <c r="G23" i="14"/>
  <c r="G19" i="3" l="1"/>
  <c r="BG16" i="8"/>
  <c r="I12" i="3"/>
  <c r="E12" i="3"/>
  <c r="B16" i="6"/>
  <c r="H21" i="2"/>
  <c r="BH25" i="16"/>
  <c r="P16" i="17"/>
  <c r="X16" i="17"/>
  <c r="AZ22" i="11"/>
  <c r="BV20" i="16"/>
  <c r="BU18" i="17"/>
  <c r="U10" i="17"/>
  <c r="BV25" i="16"/>
  <c r="BV17" i="16"/>
  <c r="BW9" i="20"/>
  <c r="BU28" i="17"/>
  <c r="BM20" i="11"/>
  <c r="BL25" i="11"/>
  <c r="AP22" i="20"/>
  <c r="V13" i="11"/>
  <c r="BK21" i="11"/>
  <c r="AZ19" i="11"/>
  <c r="BF18" i="11"/>
  <c r="BG25" i="11"/>
  <c r="V9" i="16"/>
  <c r="AA9" i="16"/>
  <c r="L21" i="2"/>
  <c r="L20" i="2"/>
  <c r="L18" i="2"/>
  <c r="L17" i="2"/>
  <c r="L29" i="2"/>
  <c r="BI21" i="11"/>
  <c r="BH25" i="11"/>
  <c r="AQ12" i="21"/>
  <c r="BH17" i="11"/>
  <c r="BM18" i="11"/>
  <c r="BK17" i="11"/>
  <c r="BK20" i="11"/>
  <c r="BF12" i="11"/>
  <c r="T17" i="11"/>
  <c r="R28" i="14"/>
  <c r="S11" i="17"/>
  <c r="BV10" i="16"/>
  <c r="BW16" i="20"/>
  <c r="BW17" i="20"/>
  <c r="BU21" i="17"/>
  <c r="BU11" i="17"/>
  <c r="BJ28" i="11"/>
  <c r="AZ9" i="11"/>
  <c r="AZ14" i="11" s="1"/>
  <c r="AZ13" i="11"/>
  <c r="BI19" i="11"/>
  <c r="BI25" i="11"/>
  <c r="BG22" i="11"/>
  <c r="Q18" i="20"/>
  <c r="Q23" i="20" s="1"/>
  <c r="V16" i="11"/>
  <c r="Z14" i="17"/>
  <c r="BD12" i="8"/>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K9" i="12" l="1"/>
  <c r="Q9"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<sst xmlns="http://schemas.openxmlformats.org/spreadsheetml/2006/main" count="2668" uniqueCount="1193">
  <si>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</si>
  <si>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</si>
  <si>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</si>
  <si>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</si>
  <si>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</si>
  <si>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</si>
  <si>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</si>
  <si>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</si>
  <si>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</si>
  <si>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</si>
  <si>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</si>
  <si>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</si>
  <si>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</si>
  <si>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</si>
  <si>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</si>
  <si>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</si>
  <si>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</si>
  <si>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</si>
  <si>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</si>
  <si>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</si>
  <si>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</si>
  <si>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</si>
  <si>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</si>
  <si>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</si>
  <si>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</si>
  <si>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</si>
  <si>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</si>
  <si>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</si>
  <si>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</si>
  <si>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</si>
  <si>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</si>
  <si>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</si>
  <si>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</si>
  <si>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</si>
  <si>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</si>
  <si>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</si>
  <si>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</si>
  <si>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</si>
  <si>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</si>
  <si>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</si>
  <si>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</si>
  <si>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</si>
  <si>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</si>
  <si>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</si>
  <si>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</si>
  <si>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</si>
  <si>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</si>
  <si>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</si>
  <si>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</si>
  <si>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</si>
  <si>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</si>
  <si>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</si>
  <si>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</si>
  <si>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</si>
  <si>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</si>
  <si>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</si>
  <si>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</si>
  <si>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</si>
  <si>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</si>
  <si>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</si>
  <si>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</si>
  <si>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</si>
  <si>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</si>
  <si>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</si>
  <si>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</si>
  <si>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</si>
  <si>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</si>
  <si>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</si>
  <si>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</si>
  <si>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</si>
  <si>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</si>
  <si>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</si>
  <si>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</si>
  <si>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</si>
  <si>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</si>
  <si>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</si>
  <si>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</si>
  <si>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</si>
  <si>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</si>
  <si>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</si>
  <si>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</si>
  <si>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</si>
  <si>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</si>
  <si>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</si>
  <si>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</si>
  <si>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</si>
  <si>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</si>
  <si>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</si>
  <si>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</si>
  <si>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</si>
  <si>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</si>
  <si>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</si>
  <si>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</si>
  <si>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</si>
  <si>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</si>
  <si>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</si>
  <si>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</si>
  <si>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</si>
  <si>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</si>
  <si>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</si>
  <si>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</si>
  <si>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</si>
  <si>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</si>
  <si>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</si>
  <si>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</si>
  <si>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</si>
  <si>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</si>
  <si>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</si>
  <si>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</si>
  <si>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</si>
  <si>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</si>
  <si>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</si>
  <si>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</si>
  <si>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</si>
  <si>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</si>
  <si>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</si>
  <si>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</si>
  <si>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</si>
  <si>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</si>
  <si>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</si>
  <si>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</si>
  <si>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</si>
  <si>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</si>
  <si>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</si>
  <si>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</si>
  <si>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</si>
  <si>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</si>
  <si>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</si>
  <si>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</si>
  <si>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</si>
  <si>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</si>
  <si>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</si>
  <si>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</si>
  <si>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</si>
  <si>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</si>
  <si>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</si>
  <si>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</si>
  <si>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</si>
  <si>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</si>
  <si>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</si>
  <si>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</si>
  <si>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</si>
  <si>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</si>
  <si>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</si>
  <si>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</si>
  <si>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</si>
  <si>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</si>
  <si>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</si>
  <si>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</si>
  <si>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</si>
  <si>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</si>
  <si>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</si>
  <si>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</si>
  <si>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</si>
  <si>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</si>
  <si>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</si>
  <si>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</si>
  <si>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</si>
  <si>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</si>
  <si>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</si>
  <si>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</si>
  <si>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</si>
  <si>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</si>
  <si>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</si>
  <si>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</si>
  <si>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</si>
  <si>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</si>
  <si>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</si>
  <si>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</si>
  <si>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</si>
  <si>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</si>
  <si>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</si>
  <si>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</si>
  <si>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</si>
  <si>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</si>
  <si>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</si>
  <si>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</si>
  <si>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</si>
  <si>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</si>
  <si>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</si>
  <si>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</si>
  <si>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</si>
  <si>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</si>
  <si>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</si>
  <si>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</si>
  <si>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</si>
  <si>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</si>
  <si>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</si>
  <si>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</si>
  <si>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</si>
  <si>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</si>
  <si>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</si>
  <si>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</si>
  <si>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</si>
  <si>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</si>
  <si>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</si>
  <si>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</si>
  <si>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</si>
  <si>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</si>
  <si>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</si>
  <si>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</si>
  <si>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</si>
  <si>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</si>
  <si>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</si>
  <si>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</si>
  <si>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</si>
  <si>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</si>
  <si>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</si>
  <si>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</si>
  <si>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</si>
  <si>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</si>
  <si>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</si>
  <si>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</si>
  <si>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</si>
  <si>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</si>
  <si>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</si>
  <si>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</si>
  <si>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</si>
  <si>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</si>
  <si>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</si>
  <si>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</si>
  <si>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</si>
  <si>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</si>
  <si>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</si>
  <si>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</si>
  <si>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</si>
  <si>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</si>
  <si>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</si>
  <si>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</si>
  <si>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</si>
  <si>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</si>
  <si>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</si>
  <si>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</si>
  <si>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</si>
  <si>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</si>
  <si>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</si>
  <si>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</si>
  <si>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</si>
  <si>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</si>
  <si>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</si>
  <si>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</si>
  <si>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</si>
  <si>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</si>
  <si>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</si>
  <si>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</si>
  <si>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</si>
  <si>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</si>
  <si>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</si>
  <si>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</si>
  <si>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</si>
  <si>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</si>
  <si>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</si>
  <si>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</si>
  <si>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</si>
  <si>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</si>
  <si>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</si>
  <si>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</si>
  <si>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</si>
  <si>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</si>
  <si>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</si>
  <si>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</si>
  <si>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</si>
  <si>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</si>
  <si>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</si>
  <si>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</si>
  <si>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</si>
  <si>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</si>
  <si>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</si>
  <si>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</si>
  <si>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</si>
  <si>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</si>
  <si>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</si>
  <si>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</si>
  <si>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</si>
  <si>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</si>
  <si>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</si>
  <si>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</si>
  <si>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</si>
  <si>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</si>
  <si>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</si>
  <si>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</si>
  <si>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</si>
  <si>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</si>
  <si>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</si>
  <si>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</si>
  <si>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</si>
  <si>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</si>
  <si>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</si>
  <si>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</si>
  <si>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</si>
  <si>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</si>
  <si>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</si>
  <si>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</si>
  <si>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</si>
  <si>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</si>
  <si>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</si>
  <si>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</si>
  <si>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</si>
  <si>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</si>
  <si>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</si>
  <si>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</si>
  <si>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</si>
  <si>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</si>
  <si>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</si>
  <si>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</si>
  <si>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</si>
  <si>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</si>
  <si>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</si>
  <si>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</si>
  <si>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</si>
  <si>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</si>
  <si>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</si>
  <si>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</si>
  <si>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</si>
  <si>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</si>
  <si>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</si>
  <si>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</si>
  <si>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</si>
  <si>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</si>
  <si>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</si>
  <si>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</si>
  <si>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</si>
  <si>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</si>
  <si>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</si>
  <si>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</si>
  <si>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</si>
  <si>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</si>
  <si>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</si>
  <si>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</si>
  <si>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</si>
  <si>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</si>
  <si>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</si>
  <si>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</si>
  <si>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</si>
  <si>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</si>
  <si>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</si>
  <si>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</si>
  <si>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</si>
  <si>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</si>
  <si>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</si>
  <si>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</si>
  <si>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</si>
  <si>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</si>
  <si>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</si>
  <si>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</si>
  <si>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</si>
  <si>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</si>
  <si>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</si>
  <si>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</si>
  <si>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</si>
  <si>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</si>
  <si>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</si>
  <si>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</si>
  <si>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</si>
  <si>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</si>
  <si>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</si>
  <si>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</si>
  <si>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</si>
  <si>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</si>
  <si>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</si>
  <si>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</si>
  <si>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</si>
  <si>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</si>
  <si>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</si>
  <si>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</si>
  <si>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</si>
  <si>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</si>
  <si>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</si>
  <si>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</si>
  <si>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</si>
  <si>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</si>
  <si>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</si>
  <si>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</si>
  <si>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</si>
  <si>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</si>
  <si>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</si>
  <si>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</si>
  <si>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</si>
  <si>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</si>
  <si>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</si>
  <si>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</si>
  <si>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</si>
  <si>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</si>
  <si>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</si>
  <si>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</si>
  <si>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</si>
  <si>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</si>
  <si>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</si>
  <si>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</si>
  <si>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</si>
  <si>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</si>
  <si>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</si>
  <si>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</si>
  <si>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</si>
  <si>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</si>
  <si>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</si>
  <si>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</si>
  <si>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</si>
  <si>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</si>
  <si>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</si>
  <si>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</si>
  <si>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</si>
  <si>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</si>
  <si>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</si>
  <si>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</si>
  <si>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</si>
  <si>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</si>
  <si>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</si>
  <si>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</si>
  <si>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</si>
  <si>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</si>
  <si>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</si>
  <si>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</si>
  <si>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</si>
  <si>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</si>
  <si>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</si>
  <si>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</si>
  <si>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</si>
  <si>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</si>
  <si>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</si>
  <si>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</si>
  <si>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</si>
  <si>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</si>
  <si>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</si>
  <si>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</si>
  <si>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</si>
  <si>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</si>
  <si>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</si>
  <si>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</si>
  <si>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</si>
  <si>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</si>
  <si>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</si>
  <si>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</si>
  <si>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</si>
  <si>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</si>
  <si>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</si>
  <si>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</si>
  <si>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</si>
  <si>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</si>
  <si>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</si>
  <si>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</si>
  <si>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</si>
  <si>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</si>
  <si>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</si>
  <si>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</si>
  <si>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</si>
  <si>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</si>
  <si>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</si>
  <si>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</si>
  <si>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</si>
  <si>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</si>
  <si>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</si>
  <si>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</si>
  <si>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</si>
  <si>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</si>
  <si>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</si>
  <si>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</si>
  <si>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</si>
  <si>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</si>
  <si>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</si>
  <si>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</si>
  <si>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</si>
  <si>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</si>
  <si>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</si>
  <si>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</si>
  <si>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</si>
  <si>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</si>
  <si>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</si>
  <si>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</si>
  <si>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</si>
  <si>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</si>
  <si>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</si>
  <si>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</si>
  <si>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</si>
  <si>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</si>
  <si>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</si>
  <si>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</si>
  <si>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</si>
  <si>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</si>
  <si>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</si>
  <si>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</si>
  <si>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</si>
  <si>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</si>
  <si>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</si>
  <si>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</si>
  <si>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</si>
  <si>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</si>
  <si>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</si>
  <si>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</si>
  <si>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</si>
  <si>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</si>
  <si>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</si>
  <si>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</si>
  <si>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</si>
  <si>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</si>
  <si>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</si>
  <si>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</si>
  <si>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</si>
  <si>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</si>
  <si>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</si>
  <si>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</si>
  <si>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</si>
  <si>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</si>
  <si>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</si>
  <si>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</si>
  <si>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</si>
  <si>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</si>
  <si>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</si>
  <si>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</si>
  <si>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</si>
  <si>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</si>
  <si>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</si>
  <si>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</si>
  <si>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</si>
  <si>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</si>
  <si>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</si>
  <si>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</si>
  <si>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</si>
  <si>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</si>
  <si>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</si>
  <si>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</si>
  <si>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</si>
  <si>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</si>
  <si>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</si>
  <si>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</si>
  <si>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</si>
  <si>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</si>
  <si>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</si>
  <si>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</si>
  <si>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</si>
  <si>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</si>
  <si>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</si>
  <si>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</si>
  <si>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</si>
  <si>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</si>
  <si>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</si>
  <si>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</si>
  <si>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</si>
  <si>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</si>
  <si>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</si>
  <si>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</si>
  <si>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</si>
  <si>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</si>
  <si>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</si>
  <si>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</si>
  <si>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</si>
  <si>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</si>
  <si>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</si>
  <si>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</si>
  <si>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</si>
  <si>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</si>
  <si>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</si>
  <si>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</si>
  <si>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</si>
  <si>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</si>
  <si>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</si>
  <si>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</si>
  <si>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</si>
  <si>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</si>
  <si>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</si>
  <si>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</si>
  <si>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</si>
  <si>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</si>
  <si>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</si>
  <si>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</si>
  <si>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</si>
  <si>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</si>
  <si>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</si>
  <si>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</si>
  <si>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</si>
  <si>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</si>
  <si>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</si>
  <si>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</si>
  <si>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</si>
  <si>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</si>
  <si>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</si>
  <si>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</si>
  <si>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</si>
  <si>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</si>
  <si>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</si>
  <si>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</si>
  <si>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</si>
  <si>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</si>
  <si>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</si>
  <si>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</si>
  <si>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</si>
  <si>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</si>
  <si>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</si>
  <si>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</si>
  <si>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</si>
  <si>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</si>
  <si>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</si>
  <si>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</si>
  <si>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</si>
  <si>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</si>
  <si>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</si>
  <si>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</si>
  <si>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</si>
  <si>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</si>
  <si>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</si>
  <si>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</si>
  <si>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</si>
  <si>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</si>
  <si>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</si>
  <si>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</si>
  <si>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</si>
  <si>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</si>
  <si>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</si>
  <si>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</si>
  <si>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</si>
  <si>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</si>
  <si>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</si>
  <si>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</si>
  <si>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</si>
  <si>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</si>
  <si>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</si>
  <si>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</si>
  <si>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</si>
  <si>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</si>
  <si>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</si>
  <si>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</si>
  <si>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</si>
  <si>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</si>
  <si>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</si>
  <si>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</si>
  <si>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</si>
  <si>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</si>
  <si>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</si>
  <si>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</si>
  <si>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</si>
  <si>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</si>
  <si>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</si>
  <si>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</si>
  <si>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</si>
  <si>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</si>
  <si>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</si>
  <si>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</si>
  <si>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</si>
  <si>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</si>
  <si>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</si>
  <si>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</si>
  <si>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</si>
  <si>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</si>
  <si>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</si>
  <si>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</si>
  <si>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</si>
  <si>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</si>
  <si>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</si>
  <si>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</si>
  <si>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</si>
  <si>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</si>
  <si>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</si>
  <si>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</si>
  <si>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</si>
  <si>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</si>
  <si>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</si>
  <si>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</si>
  <si>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</si>
  <si>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</si>
  <si>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</si>
  <si>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</si>
  <si>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</si>
  <si>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</si>
  <si>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</si>
  <si>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</si>
  <si>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</si>
  <si>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</si>
  <si>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</si>
  <si>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</si>
  <si>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</si>
  <si>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</si>
  <si>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</si>
  <si>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</si>
  <si>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</si>
  <si>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</si>
  <si>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</si>
  <si>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</si>
  <si>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</si>
  <si>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</si>
  <si>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</si>
  <si>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</si>
  <si>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</si>
  <si>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</si>
  <si>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</si>
  <si>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</si>
  <si>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</si>
  <si>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</si>
  <si>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</si>
  <si>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</si>
  <si>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</si>
  <si>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</si>
  <si>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</si>
  <si>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</si>
  <si>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</si>
  <si>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</si>
  <si>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</si>
  <si>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</si>
  <si>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</si>
  <si>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</si>
  <si>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</si>
  <si>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</si>
  <si>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</si>
  <si>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</si>
  <si>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</si>
  <si>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</si>
  <si>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</si>
  <si>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</si>
  <si>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</si>
  <si>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</si>
  <si>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</si>
  <si>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</si>
  <si>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</si>
  <si>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</si>
  <si>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</si>
  <si>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</si>
  <si>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</si>
  <si>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</si>
  <si>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</si>
  <si>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</si>
  <si>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</si>
  <si>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</si>
  <si>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</si>
  <si>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</si>
  <si>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</si>
  <si>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</si>
  <si>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</si>
  <si>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</si>
  <si>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</si>
  <si>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</si>
  <si>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</si>
  <si>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</si>
  <si>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</si>
  <si>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</si>
  <si>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</si>
  <si>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</si>
  <si>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</si>
  <si>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</si>
  <si>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</si>
  <si>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</si>
  <si>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</si>
  <si>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</si>
  <si>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</si>
  <si>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</si>
  <si>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</si>
  <si>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</si>
  <si>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</si>
  <si>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</si>
  <si>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</si>
  <si>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</si>
  <si>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</si>
  <si>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</si>
  <si>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</si>
  <si>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</si>
  <si>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</si>
  <si>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</si>
  <si>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</si>
  <si>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</si>
  <si>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</si>
  <si>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</si>
  <si>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</si>
  <si>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</si>
  <si>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</si>
  <si>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</si>
  <si>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</si>
  <si>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</si>
  <si>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</si>
  <si>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</si>
  <si>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</si>
  <si>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</si>
  <si>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</si>
  <si>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</si>
  <si>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</si>
  <si>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</si>
  <si>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</si>
  <si>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</si>
  <si>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</si>
  <si>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</si>
  <si>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</si>
  <si>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</si>
  <si>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</si>
  <si>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</si>
  <si>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</si>
  <si>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</si>
  <si>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</si>
  <si>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</si>
  <si>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</si>
  <si>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</si>
  <si>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</si>
  <si>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</si>
  <si>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</si>
  <si>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</si>
  <si>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</si>
  <si>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</si>
  <si>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</si>
  <si>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</si>
  <si>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</si>
  <si>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</si>
  <si>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</si>
  <si>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</si>
  <si>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</si>
  <si>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</si>
  <si>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</si>
  <si>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</si>
  <si>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</si>
  <si>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</si>
  <si>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</si>
  <si>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</si>
  <si>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</si>
  <si>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</si>
  <si>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</si>
  <si>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</si>
  <si>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</si>
  <si>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</si>
  <si>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</si>
  <si>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</si>
  <si>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</si>
  <si>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</si>
  <si>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</si>
  <si>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</si>
  <si>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</si>
  <si>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</si>
  <si>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</si>
  <si>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</si>
  <si>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</si>
  <si>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</si>
  <si>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</si>
  <si>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</si>
  <si>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</si>
  <si>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</si>
  <si>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</si>
  <si>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</si>
  <si>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</si>
  <si>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</si>
  <si>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</si>
  <si>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</si>
  <si>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</si>
  <si>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</si>
  <si>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</si>
  <si>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</si>
  <si>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</si>
  <si>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</si>
  <si>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</si>
  <si>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</si>
  <si>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</si>
  <si>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</si>
  <si>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</si>
  <si>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</si>
  <si>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</si>
  <si>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</si>
  <si>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</si>
  <si>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</si>
  <si>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</si>
  <si>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</si>
  <si>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</si>
  <si>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</si>
  <si>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</si>
  <si>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</si>
  <si>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</si>
  <si>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</si>
  <si>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</si>
  <si>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</si>
  <si>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</si>
  <si>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</si>
  <si>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</si>
  <si>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</si>
  <si>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</si>
  <si>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</si>
  <si>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</si>
  <si>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</si>
  <si>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</si>
  <si>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</si>
  <si>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</si>
  <si>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</si>
  <si>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</si>
  <si>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</si>
  <si>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</si>
  <si>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</si>
  <si>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</si>
  <si>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</si>
  <si>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</si>
  <si>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</si>
  <si>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</si>
  <si>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</si>
  <si>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</si>
  <si>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</si>
  <si>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</si>
  <si>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</si>
  <si>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</si>
  <si>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</si>
  <si>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</si>
  <si>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</si>
  <si>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</si>
  <si>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</si>
  <si>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</si>
  <si>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</si>
  <si>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</si>
  <si>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</si>
  <si>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</si>
  <si>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</si>
  <si>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</si>
  <si>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</si>
  <si>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</si>
  <si>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</si>
  <si>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</si>
  <si>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</si>
  <si>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</si>
  <si>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</si>
  <si>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</si>
  <si>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</si>
  <si>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</si>
  <si>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</si>
  <si>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</si>
  <si>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</si>
  <si>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</si>
  <si>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</si>
  <si>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</si>
  <si>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</si>
  <si>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</si>
  <si>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</si>
  <si>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</si>
  <si>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</si>
  <si>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</si>
  <si>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</si>
  <si>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</si>
  <si>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</si>
  <si>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</si>
  <si>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</si>
  <si>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</si>
  <si>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</si>
  <si>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</si>
  <si>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</si>
  <si>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</si>
  <si>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</si>
  <si>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</si>
  <si>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</si>
  <si>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</si>
  <si>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</si>
  <si>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</si>
  <si>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</si>
  <si>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</si>
  <si>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</si>
  <si>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</si>
  <si>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</si>
  <si>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</si>
  <si>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</si>
  <si>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</si>
  <si>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</si>
  <si>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</si>
  <si>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</si>
  <si>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</si>
  <si>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</si>
  <si>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</si>
  <si>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</si>
  <si>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</si>
  <si>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</si>
  <si>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</si>
  <si>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</si>
  <si>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</si>
  <si>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</si>
  <si>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</si>
  <si>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</si>
  <si>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</si>
  <si>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</si>
  <si>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</si>
  <si>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</si>
  <si>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</si>
  <si>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</si>
  <si>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</si>
  <si>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</si>
  <si>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</si>
  <si>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</si>
  <si>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</si>
  <si>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</si>
  <si>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</si>
  <si>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</si>
  <si>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</si>
  <si>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</si>
  <si>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</si>
  <si>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</si>
  <si>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</si>
  <si>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</si>
  <si>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</si>
  <si>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</si>
  <si>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</si>
  <si>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</si>
  <si>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</si>
  <si>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</si>
  <si>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</si>
  <si>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</si>
  <si>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</si>
  <si>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</si>
  <si>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</si>
  <si>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</si>
  <si>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</si>
  <si>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</si>
  <si>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</si>
  <si>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</si>
  <si>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</si>
  <si>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</si>
  <si>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</si>
  <si>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</si>
  <si>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</si>
  <si>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</si>
  <si>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</si>
  <si>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</si>
  <si>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</si>
  <si>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</si>
  <si>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</si>
  <si>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</si>
  <si>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</si>
  <si>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</si>
  <si>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</si>
  <si>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</si>
  <si>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</si>
  <si>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</si>
  <si>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</si>
  <si>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</si>
  <si>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</si>
  <si>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</si>
  <si>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</si>
  <si>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</si>
  <si>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</si>
  <si>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</si>
  <si>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</si>
  <si>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</si>
  <si>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</si>
  <si>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</si>
  <si>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</si>
  <si>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</si>
  <si>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</si>
  <si>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</si>
  <si>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</si>
  <si>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</si>
  <si>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</si>
  <si>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</si>
  <si>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</si>
  <si>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</si>
  <si>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</si>
  <si>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</si>
  <si>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</si>
  <si>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</si>
  <si>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</si>
  <si>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</si>
  <si>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</si>
  <si>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</si>
  <si>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</si>
  <si>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</si>
  <si>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</si>
  <si>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</si>
  <si>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</si>
  <si>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</si>
  <si>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</si>
  <si>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</si>
  <si>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</si>
  <si>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</si>
  <si>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</si>
  <si>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</si>
  <si>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</si>
  <si>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</si>
  <si>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</si>
  <si>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</si>
  <si>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</si>
  <si>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</si>
  <si>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</si>
  <si>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</si>
  <si>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</si>
  <si>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</si>
  <si>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</si>
  <si>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</si>
  <si>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</si>
  <si>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</si>
  <si>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</si>
  <si>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</si>
  <si>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</si>
  <si>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</si>
  <si>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</si>
  <si>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</si>
  <si>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</si>
  <si>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</si>
  <si>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</si>
  <si>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</si>
  <si>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</si>
  <si>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</si>
  <si>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</si>
  <si>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</si>
  <si>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</si>
  <si>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</si>
  <si>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</si>
  <si>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</si>
  <si>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</si>
  <si>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</si>
  <si>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</si>
  <si>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</si>
  <si>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</si>
  <si>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</si>
  <si>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</si>
  <si>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</si>
  <si>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</si>
  <si>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</si>
  <si>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</si>
  <si>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</si>
  <si>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</si>
  <si>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</si>
  <si>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</si>
  <si>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</si>
  <si>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</si>
  <si>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</si>
  <si>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</si>
  <si>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</si>
  <si>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</si>
  <si>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</si>
  <si>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</si>
  <si>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</si>
  <si>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</si>
  <si>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</si>
  <si>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</si>
  <si>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</si>
  <si>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</si>
  <si>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</si>
  <si>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</si>
  <si>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</si>
  <si>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</si>
  <si>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</si>
  <si>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</si>
  <si>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</si>
  <si>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</si>
  <si>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</si>
  <si>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</si>
  <si>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</si>
  <si>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</si>
  <si>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</si>
  <si>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</si>
  <si>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</si>
  <si>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</si>
  <si>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</si>
  <si>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</si>
  <si>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</si>
  <si>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</si>
  <si>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</si>
  <si>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</si>
  <si>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</si>
  <si>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</si>
  <si>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</si>
  <si>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</si>
  <si>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</si>
  <si>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</si>
  <si>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</si>
  <si>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</si>
  <si>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</si>
  <si>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</si>
  <si>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</si>
  <si>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</si>
  <si>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</si>
  <si>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</si>
  <si>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</si>
  <si>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</si>
  <si>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</si>
  <si>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</si>
  <si>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</si>
  <si>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</si>
  <si>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</si>
  <si>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</si>
  <si>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</si>
  <si>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</si>
  <si>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</si>
  <si>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</si>
  <si>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</si>
  <si>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</si>
  <si>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</si>
  <si>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</si>
  <si>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</si>
  <si>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</si>
  <si>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</si>
  <si>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</si>
  <si>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</si>
  <si>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</si>
  <si>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</si>
  <si>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</si>
  <si>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</si>
  <si>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</si>
  <si>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</si>
  <si>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</si>
  <si>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</si>
  <si>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</si>
  <si>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</si>
  <si>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</si>
  <si>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</si>
  <si>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</si>
  <si>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PAIS VASCO</t>
  </si>
  <si>
    <t>Provincias</t>
  </si>
  <si>
    <t>ARABA-ALAVA</t>
  </si>
  <si>
    <t>Resumenes por Partidos Judiciales</t>
  </si>
  <si>
    <t>VITORIA-GASTEIZ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</si>
</sst>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WGRqkJK6DGKgCXlanzA+Odsb85Q3YKfnzvwvSV2TvG1bryBauZm1WF4orH9VXrAB2W5pKCd43qI3msHTiGSiw==" saltValue="7q+y+ZR6IkrzuT5Pa4de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4.2981627835368981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138</v>
      </c>
      <c r="D10" s="239">
        <f>IF(ISNUMBER(Datos!I10),Datos!I10," - ")</f>
        <v>138</v>
      </c>
      <c r="E10" s="240">
        <f>IF(ISNUMBER(Datos!J10),Datos!J10," - ")</f>
        <v>175</v>
      </c>
      <c r="F10" s="240">
        <f>IF(ISNUMBER(Datos!K10),Datos!K10," - ")</f>
        <v>169</v>
      </c>
      <c r="G10" s="1390" t="str">
        <f>IF(Datos!E10&lt;&gt;"",Datos!E10,Datos!D10)</f>
        <v>37</v>
      </c>
      <c r="H10" s="241">
        <f>IF(ISNUMBER(Datos!L10),Datos!L10," - ")</f>
        <v>144</v>
      </c>
      <c r="I10" s="1400" t="str">
        <f>IF(ISNUMBER(Datos!AS10/Datos!BM10),Datos!AS10/Datos!BM10," - ")</f>
        <v xml:space="preserve"> - </v>
      </c>
      <c r="J10" s="1401">
        <f>IF(ISNUMBER(Datos!BY10/Datos!CN10),Datos!BY10/Datos!CN10," - ")</f>
        <v>0</v>
      </c>
      <c r="K10" s="244">
        <f t="shared" ref="K10:K13" si="1">IF(ISNUMBER((E10-F10)/C10),(E10-F10)/C10," - ")</f>
        <v>4.3478260869565216E-2</v>
      </c>
      <c r="L10" s="1402">
        <f>IF(ISNUMBER(NºAsuntos!I10/NºAsuntos!G10),(NºAsuntos!I10/NºAsuntos!G10)*11," - ")</f>
        <v>9.3727810650887573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3.3793493635077798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138</v>
      </c>
      <c r="D14" s="1407">
        <f>SUBTOTAL(9,D9:D13)</f>
        <v>138</v>
      </c>
      <c r="E14" s="1408">
        <f>SUBTOTAL(9,E9:E13)</f>
        <v>175</v>
      </c>
      <c r="F14" s="1409">
        <f>SUBTOTAL(9,F9:F13)</f>
        <v>169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2929</v>
      </c>
      <c r="D16" s="239">
        <f>IF(ISNUMBER(IF(D_I="SI",Datos!I16,Datos!I16+Datos!AC16)),IF(D_I="SI",Datos!I16,Datos!I16+Datos!AC16)," - ")</f>
        <v>2701</v>
      </c>
      <c r="E16" s="240">
        <f>IF(ISNUMBER(IF(D_I="SI",Datos!J16,Datos!J16+Datos!AD16)),IF(D_I="SI",Datos!J16,Datos!J16+Datos!AD16)," - ")</f>
        <v>8684</v>
      </c>
      <c r="F16" s="240">
        <f>IF(ISNUMBER(IF(D_I="SI",Datos!K16,Datos!K16+Datos!AE16)),IF(D_I="SI",Datos!K16,Datos!K16+Datos!AE16)," - ")</f>
        <v>8711</v>
      </c>
      <c r="G16" s="1390" t="str">
        <f>IF(Datos!E16&lt;&gt;"",Datos!E16,Datos!D16)</f>
        <v>03</v>
      </c>
      <c r="H16" s="241">
        <f>IF(ISNUMBER(IF(D_I="SI",Datos!L16,Datos!L16+Datos!AF16)),IF(D_I="SI",Datos!L16,Datos!L16+Datos!AF16)," - ")</f>
        <v>2902</v>
      </c>
      <c r="I16" s="1400" t="str">
        <f>IF(ISNUMBER(Datos!AS16/Datos!BM16),Datos!AS16/Datos!BM16," - ")</f>
        <v xml:space="preserve"> - </v>
      </c>
      <c r="J16" s="1401">
        <f>IF(ISNUMBER(Datos!BY16/Datos!CN16),Datos!BY16/Datos!CN16," - ")</f>
        <v>0</v>
      </c>
      <c r="K16" s="244">
        <f t="shared" ref="K16:K22" si="3">IF(ISNUMBER((E16-F16)/C16),(E16-F16)/C16," - ")</f>
        <v>-9.2181631956299078E-3</v>
      </c>
      <c r="L16" s="1402">
        <f>IF(ISNUMBER(NºAsuntos!I16/NºAsuntos!G16),(NºAsuntos!I16/NºAsuntos!G16)*11," - ")</f>
        <v>3.6645620479853056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648</v>
      </c>
      <c r="D18" s="239">
        <f>IF(ISNUMBER(IF(D_I="SI",Datos!I18,Datos!I18+Datos!AC18)),IF(D_I="SI",Datos!I18,Datos!I18+Datos!AC18)," - ")</f>
        <v>608</v>
      </c>
      <c r="E18" s="240">
        <f>IF(ISNUMBER(IF(D_I="SI",Datos!J18,Datos!J18+Datos!AD18)),IF(D_I="SI",Datos!J18,Datos!J18+Datos!AD18)," - ")</f>
        <v>1526</v>
      </c>
      <c r="F18" s="240">
        <f>IF(ISNUMBER(IF(D_I="SI",Datos!K18,Datos!K18+Datos!AE18)),IF(D_I="SI",Datos!K18,Datos!K18+Datos!AE18)," - ")</f>
        <v>1509</v>
      </c>
      <c r="G18" s="1390" t="str">
        <f>IF(Datos!E18&lt;&gt;"",Datos!E18,Datos!D18)</f>
        <v>37</v>
      </c>
      <c r="H18" s="241">
        <f>IF(ISNUMBER(IF(D_I="SI",Datos!L18,Datos!L18+Datos!AF18)),IF(D_I="SI",Datos!L18,Datos!L18+Datos!AF18)," - ")</f>
        <v>665</v>
      </c>
      <c r="I18" s="1400" t="str">
        <f>IF(ISNUMBER(Datos!AS18/Datos!BM18),Datos!AS18/Datos!BM18," - ")</f>
        <v xml:space="preserve"> - </v>
      </c>
      <c r="J18" s="1401" t="str">
        <f>IF(ISNUMBER((Datos!BY18+Datos!BZ18)/Datos!CN18),(Datos!BY18+Datos!BZ18)/Datos!CN18," - ")</f>
        <v xml:space="preserve"> - </v>
      </c>
      <c r="K18" s="244">
        <f t="shared" si="3"/>
        <v>2.6234567901234566E-2</v>
      </c>
      <c r="L18" s="1402">
        <f>IF(ISNUMBER(NºAsuntos!I18/NºAsuntos!G18),(NºAsuntos!I18/NºAsuntos!G18)*11," - ")</f>
        <v>4.8475811795891319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3577</v>
      </c>
      <c r="D23" s="1407">
        <f>SUBTOTAL(9,D16:D22)</f>
        <v>3309</v>
      </c>
      <c r="E23" s="1408">
        <f>SUBTOTAL(9,E16:E22)</f>
        <v>10210</v>
      </c>
      <c r="F23" s="1408">
        <f>SUBTOTAL(9,F16:F22)</f>
        <v>10220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3715</v>
      </c>
      <c r="D31" s="1435">
        <f>SUBTOTAL(9,D9:D30)</f>
        <v>3447</v>
      </c>
      <c r="E31" s="1436">
        <f>SUBTOTAL(9,E9:E30)</f>
        <v>10385</v>
      </c>
      <c r="F31" s="1436">
        <f>SUBTOTAL(9,F9:F30)</f>
        <v>10389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grx6Ua1PpIZe2mFHI1EEUuNMm/YpoLrQ5c687NFKsj5u1lWbL4krZrh1kctbTrAodXulN4+Xexg7+xZ5CymAwg==" saltValue="M626xC4jcY27m8lbJazQl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2RPNzqS5dWEo5e2Bkz59nPDxIbbZNteOpgf7PlecV8MEGTYkeM1JnRUWbj/fVa8937Iyj7Kvem7ElgB2hWGqbw==" saltValue="6skZlv9bNFF4ZoxfNxFc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v>2874</v>
      </c>
      <c r="J9" s="194">
        <v>9890</v>
      </c>
      <c r="K9" s="194">
        <v>9075</v>
      </c>
      <c r="L9" s="194">
        <v>3687</v>
      </c>
      <c r="M9" s="194">
        <v>5005</v>
      </c>
      <c r="N9" s="194">
        <v>1799</v>
      </c>
      <c r="O9" s="194">
        <v>3830</v>
      </c>
      <c r="P9" s="194">
        <v>1876</v>
      </c>
      <c r="Q9" s="194">
        <v>4705</v>
      </c>
      <c r="R9" s="194">
        <v>5971</v>
      </c>
      <c r="S9" s="194">
        <v>2584</v>
      </c>
      <c r="T9" s="194">
        <v>9257</v>
      </c>
      <c r="U9" s="194">
        <v>8964</v>
      </c>
      <c r="V9" s="194">
        <v>2874</v>
      </c>
      <c r="W9" s="194">
        <v>4564</v>
      </c>
      <c r="X9" s="201">
        <v>2056</v>
      </c>
      <c r="Y9" s="204">
        <v>81</v>
      </c>
      <c r="Z9" s="194">
        <v>707</v>
      </c>
      <c r="AA9" s="194">
        <v>668</v>
      </c>
      <c r="AB9" s="194">
        <v>120</v>
      </c>
      <c r="AC9" s="194">
        <v>0</v>
      </c>
      <c r="AD9" s="194">
        <v>0</v>
      </c>
      <c r="AE9" s="194">
        <v>0</v>
      </c>
      <c r="AF9" s="201">
        <v>0</v>
      </c>
      <c r="AG9" s="204">
        <v>144</v>
      </c>
      <c r="AH9" s="194">
        <v>822</v>
      </c>
      <c r="AI9" s="194">
        <v>885</v>
      </c>
      <c r="AJ9" s="205">
        <v>81</v>
      </c>
      <c r="AK9" s="193">
        <v>0</v>
      </c>
      <c r="AL9" s="194">
        <v>0</v>
      </c>
      <c r="AM9" s="194">
        <v>0</v>
      </c>
      <c r="AN9" s="201">
        <v>0</v>
      </c>
      <c r="AO9" s="282">
        <v>7</v>
      </c>
      <c r="AP9" s="167">
        <v>7</v>
      </c>
      <c r="AQ9" s="167">
        <v>7</v>
      </c>
      <c r="AR9" s="206">
        <v>7</v>
      </c>
      <c r="AS9" s="379" t="s">
        <v>1072</v>
      </c>
      <c r="AT9" s="208"/>
      <c r="AU9" s="207"/>
      <c r="AV9" s="208"/>
      <c r="AW9" s="207"/>
      <c r="AX9" s="208"/>
      <c r="AY9" s="133">
        <f>IF(ISNUMBER(IF(J_V="SI",S9,S9+AG9)),IF(J_V="SI",S9,S9+AG9)," - ")</f>
        <v>2728</v>
      </c>
      <c r="AZ9" s="133">
        <f>IF(ISNUMBER(IF(J_V="SI",T9,T9+AH9)),IF(J_V="SI",T9,T9+AH9)," - ")</f>
        <v>10079</v>
      </c>
      <c r="BA9" s="134">
        <f>IF(ISNUMBER(IF(J_V="SI",U9,U9+AI9)),IF(J_V="SI",U9,U9+AI9)," - ")</f>
        <v>9849</v>
      </c>
      <c r="BB9" s="134">
        <f>IF(ISNUMBER(IF(J_V="SI",V9,V9+AJ9)),IF(J_V="SI",V9,V9+AJ9)," - ")</f>
        <v>2955</v>
      </c>
      <c r="BC9" s="135">
        <f>IF(ISNUMBER(X9),X9," - ")</f>
        <v>2056</v>
      </c>
      <c r="BD9" s="136">
        <f>IF(ISNUMBER(BA9/AZ9),BA9/AZ9," - ")</f>
        <v>0.97718027582101397</v>
      </c>
      <c r="BE9" s="137">
        <f>IF(ISNUMBER(BB9/BA9),BB9/BA9, " - ")</f>
        <v>0.30003045994517208</v>
      </c>
      <c r="BF9" s="137">
        <f>IF(ISNUMBER(BC9/BA9),BC9/BA9, " - ")</f>
        <v>0.2087521575794497</v>
      </c>
      <c r="BG9" s="209">
        <f>IF(ISNUMBER((AY9+AZ9)/BA9),(AY9+AZ9)/BA9," - ")</f>
        <v>1.300335059396893</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138</v>
      </c>
      <c r="J10" s="194">
        <v>175</v>
      </c>
      <c r="K10" s="194">
        <v>169</v>
      </c>
      <c r="L10" s="194">
        <v>144</v>
      </c>
      <c r="M10" s="194">
        <v>78</v>
      </c>
      <c r="N10" s="194">
        <v>89</v>
      </c>
      <c r="O10" s="194">
        <v>0</v>
      </c>
      <c r="P10" s="194">
        <v>36</v>
      </c>
      <c r="Q10" s="194">
        <v>66</v>
      </c>
      <c r="R10" s="194">
        <v>123</v>
      </c>
      <c r="S10" s="194">
        <v>176</v>
      </c>
      <c r="T10" s="194">
        <v>219</v>
      </c>
      <c r="U10" s="194">
        <v>257</v>
      </c>
      <c r="V10" s="194">
        <v>138</v>
      </c>
      <c r="W10" s="194">
        <v>95</v>
      </c>
      <c r="X10" s="201">
        <v>103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176</v>
      </c>
      <c r="AZ10" s="139">
        <f t="shared" si="0"/>
        <v>219</v>
      </c>
      <c r="BA10" s="139">
        <f t="shared" si="0"/>
        <v>257</v>
      </c>
      <c r="BB10" s="139">
        <f t="shared" si="0"/>
        <v>138</v>
      </c>
      <c r="BC10" s="135">
        <f t="shared" si="0"/>
        <v>95</v>
      </c>
      <c r="BD10" s="136">
        <f>IF(ISNUMBER(BA10/AZ10),BA10/AZ10," - ")</f>
        <v>1.1735159817351599</v>
      </c>
      <c r="BE10" s="137">
        <f>IF(ISNUMBER(BB10/BA10),BB10/BA10, " - ")</f>
        <v>0.53696498054474706</v>
      </c>
      <c r="BF10" s="137">
        <f>IF(ISNUMBER(BC10/BA10),BC10/BA10, " - ")</f>
        <v>0.36964980544747084</v>
      </c>
      <c r="BG10" s="209">
        <f>IF(ISNUMBER((AY10+AZ10)/BA10),(AY10+AZ10)/BA10," - ")</f>
        <v>1.5369649805447472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957</v>
      </c>
      <c r="J11" s="196">
        <v>2309</v>
      </c>
      <c r="K11" s="196">
        <v>2274</v>
      </c>
      <c r="L11" s="196">
        <v>966</v>
      </c>
      <c r="M11" s="196">
        <v>924</v>
      </c>
      <c r="N11" s="196">
        <v>2329</v>
      </c>
      <c r="O11" s="194">
        <v>992</v>
      </c>
      <c r="P11" s="196">
        <v>469</v>
      </c>
      <c r="Q11" s="196">
        <v>1038</v>
      </c>
      <c r="R11" s="196">
        <v>1164</v>
      </c>
      <c r="S11" s="196">
        <v>1124</v>
      </c>
      <c r="T11" s="196">
        <v>2446</v>
      </c>
      <c r="U11" s="196">
        <v>2521</v>
      </c>
      <c r="V11" s="196">
        <v>957</v>
      </c>
      <c r="W11" s="196">
        <v>1044</v>
      </c>
      <c r="X11" s="202">
        <v>1748</v>
      </c>
      <c r="Y11" s="204">
        <v>153</v>
      </c>
      <c r="Z11" s="194">
        <v>1228</v>
      </c>
      <c r="AA11" s="194">
        <v>1261</v>
      </c>
      <c r="AB11" s="194">
        <v>120</v>
      </c>
      <c r="AC11" s="196">
        <v>0</v>
      </c>
      <c r="AD11" s="196">
        <v>0</v>
      </c>
      <c r="AE11" s="196">
        <v>0</v>
      </c>
      <c r="AF11" s="202">
        <v>0</v>
      </c>
      <c r="AG11" s="215">
        <v>107</v>
      </c>
      <c r="AH11" s="196">
        <v>1230</v>
      </c>
      <c r="AI11" s="196">
        <v>1184</v>
      </c>
      <c r="AJ11" s="216">
        <v>153</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1231</v>
      </c>
      <c r="AZ11" s="137">
        <f t="shared" si="1"/>
        <v>3676</v>
      </c>
      <c r="BA11" s="137">
        <f t="shared" si="1"/>
        <v>3705</v>
      </c>
      <c r="BB11" s="137">
        <f t="shared" si="1"/>
        <v>1110</v>
      </c>
      <c r="BC11" s="135">
        <f>IF(ISNUMBER(X11),X11," - ")</f>
        <v>1748</v>
      </c>
      <c r="BD11" s="136">
        <f t="shared" ref="BD11:BD13" si="2">IF(ISNUMBER(BA11/AZ11),BA11/AZ11," - ")</f>
        <v>1.0078890097932536</v>
      </c>
      <c r="BE11" s="137">
        <f t="shared" ref="BE11:BE13" si="3">IF(ISNUMBER(BB11/BA11),BB11/BA11, " - ")</f>
        <v>0.29959514170040485</v>
      </c>
      <c r="BF11" s="137">
        <f t="shared" ref="BF11:BF13" si="4">IF(ISNUMBER(BC11/BA11),BC11/BA11, " - ")</f>
        <v>0.47179487179487178</v>
      </c>
      <c r="BG11" s="209">
        <f t="shared" ref="BG11:BG13" si="5">IF(ISNUMBER((AY11+AZ11)/BA11),(AY11+AZ11)/BA11," - ")</f>
        <v>1.3244264507422403</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1086</v>
      </c>
      <c r="J12" s="196" t="s">
        <v>1073</v>
      </c>
      <c r="K12" s="196" t="s">
        <v>1149</v>
      </c>
      <c r="L12" s="196" t="s">
        <v>1091</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3969</v>
      </c>
      <c r="J14" s="197">
        <f t="shared" si="7"/>
        <v>12374</v>
      </c>
      <c r="K14" s="197">
        <f t="shared" si="7"/>
        <v>11518</v>
      </c>
      <c r="L14" s="197">
        <f t="shared" si="7"/>
        <v>4797</v>
      </c>
      <c r="M14" s="197">
        <f t="shared" si="7"/>
        <v>6007</v>
      </c>
      <c r="N14" s="197">
        <f t="shared" si="7"/>
        <v>4217</v>
      </c>
      <c r="O14" s="197">
        <f t="shared" si="7"/>
        <v>4822</v>
      </c>
      <c r="P14" s="197">
        <f t="shared" si="7"/>
        <v>2381</v>
      </c>
      <c r="Q14" s="197">
        <f t="shared" si="7"/>
        <v>5809</v>
      </c>
      <c r="R14" s="197">
        <f t="shared" si="7"/>
        <v>7258</v>
      </c>
      <c r="S14" s="197">
        <f t="shared" si="7"/>
        <v>3884</v>
      </c>
      <c r="T14" s="197">
        <f t="shared" si="7"/>
        <v>11922</v>
      </c>
      <c r="U14" s="197">
        <f t="shared" si="7"/>
        <v>11742</v>
      </c>
      <c r="V14" s="197">
        <f t="shared" si="7"/>
        <v>3969</v>
      </c>
      <c r="W14" s="197">
        <f t="shared" si="7"/>
        <v>5703</v>
      </c>
      <c r="X14" s="197">
        <f t="shared" si="7"/>
        <v>3907</v>
      </c>
      <c r="Y14" s="197">
        <f t="shared" si="7"/>
        <v>234</v>
      </c>
      <c r="Z14" s="197">
        <f t="shared" si="7"/>
        <v>1935</v>
      </c>
      <c r="AA14" s="197">
        <f t="shared" si="7"/>
        <v>1929</v>
      </c>
      <c r="AB14" s="197">
        <f t="shared" si="7"/>
        <v>240</v>
      </c>
      <c r="AC14" s="197">
        <f t="shared" si="7"/>
        <v>0</v>
      </c>
      <c r="AD14" s="197">
        <f t="shared" si="7"/>
        <v>0</v>
      </c>
      <c r="AE14" s="197">
        <f t="shared" si="7"/>
        <v>0</v>
      </c>
      <c r="AF14" s="197">
        <f>SUBTOTAL(9,AF9:AF13)</f>
        <v>0</v>
      </c>
      <c r="AG14" s="197">
        <f t="shared" ref="AG14:AT14" si="8">SUBTOTAL(9,AG8:AG13)</f>
        <v>251</v>
      </c>
      <c r="AH14" s="197">
        <f t="shared" si="8"/>
        <v>2052</v>
      </c>
      <c r="AI14" s="197">
        <f t="shared" si="8"/>
        <v>2069</v>
      </c>
      <c r="AJ14" s="197">
        <f t="shared" si="8"/>
        <v>234</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4135</v>
      </c>
      <c r="AZ14" s="197">
        <f>SUBTOTAL(9,AZ8:AZ13)</f>
        <v>13974</v>
      </c>
      <c r="BA14" s="197">
        <f>SUBTOTAL(9,BA8:BA13)</f>
        <v>13811</v>
      </c>
      <c r="BB14" s="197">
        <f>SUBTOTAL(9,BB8:BB13)</f>
        <v>4203</v>
      </c>
      <c r="BC14" s="197">
        <f>SUBTOTAL(9,BC8:BC13)</f>
        <v>3899</v>
      </c>
      <c r="BD14" s="219">
        <f>IF(ISNUMBER(BA14/AZ14),BA14/AZ14," - ")</f>
        <v>0.98833548017747241</v>
      </c>
      <c r="BE14" s="220">
        <f>IF(ISNUMBER(BB14/BA14),BB14/BA14, " - ")</f>
        <v>0.30432264137281878</v>
      </c>
      <c r="BF14" s="220">
        <f>IF(ISNUMBER(BC14/BA14),BC14/BA14, " - ")</f>
        <v>0.28231120121642167</v>
      </c>
      <c r="BG14" s="221">
        <f>IF(ISNUMBER((AY14+AZ14)/BA14),(AY14+AZ14)/BA14," - ")</f>
        <v>1.3112012164216929</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2701</v>
      </c>
      <c r="J16" s="196">
        <v>8684</v>
      </c>
      <c r="K16" s="196">
        <v>8711</v>
      </c>
      <c r="L16" s="196">
        <v>2902</v>
      </c>
      <c r="M16" s="196">
        <v>2273</v>
      </c>
      <c r="N16" s="196">
        <v>3974</v>
      </c>
      <c r="O16" s="194">
        <v>57</v>
      </c>
      <c r="P16" s="196">
        <v>1068</v>
      </c>
      <c r="Q16" s="196">
        <v>993</v>
      </c>
      <c r="R16" s="196">
        <v>714</v>
      </c>
      <c r="S16" s="196">
        <v>2631</v>
      </c>
      <c r="T16" s="196">
        <v>8363</v>
      </c>
      <c r="U16" s="196">
        <v>8573</v>
      </c>
      <c r="V16" s="196">
        <v>2701</v>
      </c>
      <c r="W16" s="196">
        <v>2386</v>
      </c>
      <c r="X16" s="202">
        <v>3726</v>
      </c>
      <c r="Y16" s="215">
        <v>0</v>
      </c>
      <c r="Z16" s="196">
        <v>0</v>
      </c>
      <c r="AA16" s="196">
        <v>0</v>
      </c>
      <c r="AB16" s="196">
        <v>0</v>
      </c>
      <c r="AC16" s="196">
        <v>0</v>
      </c>
      <c r="AD16" s="196">
        <v>133</v>
      </c>
      <c r="AE16" s="196">
        <v>133</v>
      </c>
      <c r="AF16" s="202">
        <v>0</v>
      </c>
      <c r="AG16" s="215">
        <v>0</v>
      </c>
      <c r="AH16" s="196">
        <v>0</v>
      </c>
      <c r="AI16" s="196">
        <v>0</v>
      </c>
      <c r="AJ16" s="216">
        <v>0</v>
      </c>
      <c r="AK16" s="195">
        <v>1</v>
      </c>
      <c r="AL16" s="196">
        <v>148</v>
      </c>
      <c r="AM16" s="196">
        <v>149</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2631</v>
      </c>
      <c r="AZ16" s="139">
        <f t="shared" si="10"/>
        <v>8363</v>
      </c>
      <c r="BA16" s="139">
        <f t="shared" si="10"/>
        <v>8573</v>
      </c>
      <c r="BB16" s="139">
        <f t="shared" si="10"/>
        <v>2701</v>
      </c>
      <c r="BC16" s="135">
        <f>IF(ISNUMBER(W16),W16," - ")</f>
        <v>2386</v>
      </c>
      <c r="BD16" s="136">
        <f>IF(ISNUMBER(BA16/AZ16),BA16/AZ16," - ")</f>
        <v>1.0251106062417792</v>
      </c>
      <c r="BE16" s="137">
        <f>IF(ISNUMBER(BB16/BA16),BB16/BA16, " - ")</f>
        <v>0.31505890586725765</v>
      </c>
      <c r="BF16" s="137">
        <f>IF(ISNUMBER(BC16/BA16),BC16/BA16, " - ")</f>
        <v>0.27831564213227578</v>
      </c>
      <c r="BG16" s="209">
        <f t="shared" ref="BG16:BG22" si="11">IF(ISNUMBER((AY16+AZ16)/BA16),(AY16+AZ16)/BA16," - ")</f>
        <v>1.2823982269917182</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608</v>
      </c>
      <c r="J18" s="196">
        <v>1526</v>
      </c>
      <c r="K18" s="196">
        <v>1509</v>
      </c>
      <c r="L18" s="196">
        <v>665</v>
      </c>
      <c r="M18" s="196">
        <v>202</v>
      </c>
      <c r="N18" s="196">
        <v>495</v>
      </c>
      <c r="O18" s="196">
        <v>0</v>
      </c>
      <c r="P18" s="196">
        <v>8</v>
      </c>
      <c r="Q18" s="196">
        <v>6</v>
      </c>
      <c r="R18" s="196">
        <v>4</v>
      </c>
      <c r="S18" s="196">
        <v>797</v>
      </c>
      <c r="T18" s="196">
        <v>1165</v>
      </c>
      <c r="U18" s="196">
        <v>1390</v>
      </c>
      <c r="V18" s="196">
        <v>608</v>
      </c>
      <c r="W18" s="196">
        <v>163</v>
      </c>
      <c r="X18" s="202">
        <v>682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797</v>
      </c>
      <c r="AZ18" s="139">
        <f t="shared" si="15"/>
        <v>1165</v>
      </c>
      <c r="BA18" s="139">
        <f t="shared" si="15"/>
        <v>1390</v>
      </c>
      <c r="BB18" s="139">
        <f t="shared" si="15"/>
        <v>608</v>
      </c>
      <c r="BC18" s="135">
        <f>IF(ISNUMBER(W18),W18," - ")</f>
        <v>163</v>
      </c>
      <c r="BD18" s="136">
        <f>IF(ISNUMBER(BA18/AZ18),BA18/AZ18," - ")</f>
        <v>1.1931330472103003</v>
      </c>
      <c r="BE18" s="137">
        <f>IF(ISNUMBER(BB18/BA18),BB18/BA18, " - ")</f>
        <v>0.43741007194244602</v>
      </c>
      <c r="BF18" s="137">
        <f>IF(ISNUMBER(BC18/BA18),BC18/BA18, " - ")</f>
        <v>0.11726618705035971</v>
      </c>
      <c r="BG18" s="209">
        <f>IF(ISNUMBER((AY18+AZ18)/BA18),(AY18+AZ18)/BA18," - ")</f>
        <v>1.4115107913669065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3309</v>
      </c>
      <c r="J23" s="197">
        <f t="shared" si="21"/>
        <v>10210</v>
      </c>
      <c r="K23" s="197">
        <f t="shared" si="21"/>
        <v>10220</v>
      </c>
      <c r="L23" s="197">
        <f t="shared" si="21"/>
        <v>3567</v>
      </c>
      <c r="M23" s="197">
        <f t="shared" si="21"/>
        <v>2475</v>
      </c>
      <c r="N23" s="197">
        <f t="shared" si="21"/>
        <v>4469</v>
      </c>
      <c r="O23" s="197">
        <f t="shared" si="21"/>
        <v>57</v>
      </c>
      <c r="P23" s="197">
        <f t="shared" si="21"/>
        <v>1076</v>
      </c>
      <c r="Q23" s="197">
        <f t="shared" si="21"/>
        <v>999</v>
      </c>
      <c r="R23" s="197">
        <f t="shared" si="21"/>
        <v>718</v>
      </c>
      <c r="S23" s="197">
        <f t="shared" si="21"/>
        <v>3428</v>
      </c>
      <c r="T23" s="197">
        <f t="shared" si="21"/>
        <v>9528</v>
      </c>
      <c r="U23" s="197">
        <f t="shared" si="21"/>
        <v>9963</v>
      </c>
      <c r="V23" s="197">
        <f t="shared" si="21"/>
        <v>3309</v>
      </c>
      <c r="W23" s="197">
        <f t="shared" si="21"/>
        <v>2549</v>
      </c>
      <c r="X23" s="197">
        <f t="shared" si="21"/>
        <v>4408</v>
      </c>
      <c r="Y23" s="197">
        <f t="shared" si="21"/>
        <v>0</v>
      </c>
      <c r="Z23" s="197">
        <f t="shared" si="21"/>
        <v>0</v>
      </c>
      <c r="AA23" s="197">
        <f t="shared" si="21"/>
        <v>0</v>
      </c>
      <c r="AB23" s="197">
        <f t="shared" si="21"/>
        <v>0</v>
      </c>
      <c r="AC23" s="197">
        <f t="shared" si="21"/>
        <v>0</v>
      </c>
      <c r="AD23" s="197">
        <f t="shared" si="21"/>
        <v>133</v>
      </c>
      <c r="AE23" s="197">
        <f t="shared" si="21"/>
        <v>133</v>
      </c>
      <c r="AF23" s="197">
        <f t="shared" si="21"/>
        <v>0</v>
      </c>
      <c r="AG23" s="197">
        <f t="shared" si="21"/>
        <v>0</v>
      </c>
      <c r="AH23" s="197">
        <f t="shared" si="21"/>
        <v>0</v>
      </c>
      <c r="AI23" s="197">
        <f t="shared" si="21"/>
        <v>0</v>
      </c>
      <c r="AJ23" s="197">
        <f t="shared" si="21"/>
        <v>0</v>
      </c>
      <c r="AK23" s="197">
        <f t="shared" si="21"/>
        <v>1</v>
      </c>
      <c r="AL23" s="197">
        <f t="shared" si="21"/>
        <v>148</v>
      </c>
      <c r="AM23" s="197">
        <f t="shared" si="21"/>
        <v>149</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3428</v>
      </c>
      <c r="AZ23" s="197">
        <f>SUBTOTAL(9,AZ15:AZ22)</f>
        <v>9528</v>
      </c>
      <c r="BA23" s="197">
        <f>SUBTOTAL(9,BA15:BA22)</f>
        <v>9963</v>
      </c>
      <c r="BB23" s="197">
        <f>SUBTOTAL(9,BB15:BB22)</f>
        <v>3309</v>
      </c>
      <c r="BC23" s="197">
        <f>SUBTOTAL(9,BC15:BC22)</f>
        <v>2549</v>
      </c>
      <c r="BD23" s="219">
        <f>IF(ISNUMBER(BA23/AZ23),BA23/AZ23," - ")</f>
        <v>1.045654911838791</v>
      </c>
      <c r="BE23" s="220">
        <f>IF(ISNUMBER(BB23/BA23),BB23/BA23, " - ")</f>
        <v>0.33212887684432402</v>
      </c>
      <c r="BF23" s="220">
        <f>IF(ISNUMBER(BC23/BA23),BC23/BA23, " - ")</f>
        <v>0.25584663254039947</v>
      </c>
      <c r="BG23" s="221">
        <f>IF(ISNUMBER((AY23+AZ23)/BA23),(AY23+AZ23)/BA23," - ")</f>
        <v>1.3004115226337449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7278</v>
      </c>
      <c r="J31" s="144">
        <f t="shared" si="36"/>
        <v>22584</v>
      </c>
      <c r="K31" s="144">
        <f t="shared" si="36"/>
        <v>21738</v>
      </c>
      <c r="L31" s="144">
        <f t="shared" si="36"/>
        <v>8364</v>
      </c>
      <c r="M31" s="144">
        <f t="shared" si="36"/>
        <v>8482</v>
      </c>
      <c r="N31" s="144">
        <f t="shared" si="36"/>
        <v>8686</v>
      </c>
      <c r="O31" s="144">
        <f t="shared" si="36"/>
        <v>4879</v>
      </c>
      <c r="P31" s="144">
        <f t="shared" si="36"/>
        <v>3457</v>
      </c>
      <c r="Q31" s="144">
        <f t="shared" si="36"/>
        <v>6808</v>
      </c>
      <c r="R31" s="144">
        <f t="shared" si="36"/>
        <v>7976</v>
      </c>
      <c r="S31" s="144">
        <f t="shared" si="36"/>
        <v>7312</v>
      </c>
      <c r="T31" s="144">
        <f t="shared" si="36"/>
        <v>21450</v>
      </c>
      <c r="U31" s="144">
        <f t="shared" si="36"/>
        <v>21705</v>
      </c>
      <c r="V31" s="144">
        <f t="shared" si="36"/>
        <v>7278</v>
      </c>
      <c r="W31" s="144">
        <f t="shared" si="36"/>
        <v>8252</v>
      </c>
      <c r="X31" s="144">
        <f t="shared" si="36"/>
        <v>8315</v>
      </c>
      <c r="Y31" s="144">
        <f t="shared" si="36"/>
        <v>234</v>
      </c>
      <c r="Z31" s="144">
        <f t="shared" si="36"/>
        <v>1935</v>
      </c>
      <c r="AA31" s="144">
        <f t="shared" si="36"/>
        <v>1929</v>
      </c>
      <c r="AB31" s="144">
        <f t="shared" si="36"/>
        <v>240</v>
      </c>
      <c r="AC31" s="144">
        <f t="shared" si="36"/>
        <v>0</v>
      </c>
      <c r="AD31" s="144">
        <f t="shared" si="36"/>
        <v>133</v>
      </c>
      <c r="AE31" s="144">
        <f t="shared" si="36"/>
        <v>133</v>
      </c>
      <c r="AF31" s="144">
        <f t="shared" si="36"/>
        <v>0</v>
      </c>
      <c r="AG31" s="144">
        <f t="shared" si="36"/>
        <v>251</v>
      </c>
      <c r="AH31" s="144">
        <f t="shared" si="36"/>
        <v>2052</v>
      </c>
      <c r="AI31" s="144">
        <f t="shared" si="36"/>
        <v>2069</v>
      </c>
      <c r="AJ31" s="144">
        <f t="shared" si="36"/>
        <v>234</v>
      </c>
      <c r="AK31" s="144">
        <f t="shared" si="36"/>
        <v>1</v>
      </c>
      <c r="AL31" s="144">
        <f t="shared" si="36"/>
        <v>148</v>
      </c>
      <c r="AM31" s="144">
        <f t="shared" si="36"/>
        <v>149</v>
      </c>
      <c r="AN31" s="224">
        <f t="shared" si="36"/>
        <v>0</v>
      </c>
      <c r="AO31" s="225">
        <v>14</v>
      </c>
      <c r="AP31" s="225">
        <v>14</v>
      </c>
      <c r="AQ31" s="225">
        <v>14</v>
      </c>
      <c r="AR31" s="225">
        <v>14</v>
      </c>
      <c r="AS31" s="166">
        <f t="shared" si="36"/>
        <v>0</v>
      </c>
      <c r="AT31" s="166">
        <f t="shared" si="36"/>
        <v>0</v>
      </c>
      <c r="AU31" s="225"/>
      <c r="AV31" s="226"/>
      <c r="AW31" s="225"/>
      <c r="AX31" s="226"/>
      <c r="AY31" s="143">
        <f>SUBTOTAL(9,AY9:AY30)</f>
        <v>7563</v>
      </c>
      <c r="AZ31" s="144">
        <f>SUBTOTAL(9,AZ9:AZ30)</f>
        <v>23502</v>
      </c>
      <c r="BA31" s="144">
        <f>SUBTOTAL(9,BA9:BA30)</f>
        <v>23774</v>
      </c>
      <c r="BB31" s="144">
        <f>SUBTOTAL(9,BB9:BB30)</f>
        <v>7512</v>
      </c>
      <c r="BC31" s="145">
        <f>SUBTOTAL(9,BC9:BC30)</f>
        <v>6448</v>
      </c>
      <c r="BD31" s="227">
        <f>IF(ISNUMBER(BA31/AZ31),BA31/AZ31," - ")</f>
        <v>1.0115734831078207</v>
      </c>
      <c r="BE31" s="224">
        <f>IF(ISNUMBER(BB31/BA31),BB31/BA31, " - ")</f>
        <v>0.31597543534954153</v>
      </c>
      <c r="BF31" s="224">
        <f>IF(ISNUMBER(BC31/BA31),BC31/BA31, " - ")</f>
        <v>0.27122066122655003</v>
      </c>
      <c r="BG31" s="145">
        <f>IF(ISNUMBER((AY31+AZ31)/BA31),(AY31+AZ31)/BA31," - ")</f>
        <v>1.3066795659123411</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n6wrM2js5Qh/tOpoxVYlN725c0kcMKI6OQxne5NzB4gHt4ai7S6gGTHTTgrufuikdCyBmo5LzW9Os+sBG786g==" saltValue="85pB1Zw8ecoOzSND1I19q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NF6Fqe0UMtihZEjf3rX/ia3vMbiqmpMVKBiOqfJGTQ3Z0qhUwoD8AOX7PIxECDsJTokqzB1jY5F65BFF0olEg==" saltValue="YZkewFKZL8+YQp13jOBmZ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ARABA-ALAVA  Resumenes por Partidos Judiciales  VITORIA-GASTEIZ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321</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707</v>
      </c>
      <c r="O9" s="549"/>
      <c r="P9" s="549"/>
      <c r="Q9" s="547">
        <f>IF(ISNUMBER(Datos!P9),Datos!P9,0)</f>
        <v>1876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4705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120</v>
      </c>
      <c r="AI9" s="549" t="str">
        <f>IF(ISNUMBER(Datos!CD9),Datos!CD9,"-")</f>
        <v>-</v>
      </c>
      <c r="AJ9" s="549" t="str">
        <f>IF(ISNUMBER(Datos!EN9),Datos!EN9," - ")</f>
        <v xml:space="preserve"> - </v>
      </c>
      <c r="AK9" s="549"/>
      <c r="AL9" s="550"/>
      <c r="AM9" s="766">
        <f>IF(ISNUMBER(Datos!R9),Datos!R9," - ")</f>
        <v>5971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5005</v>
      </c>
      <c r="BD9" s="693">
        <f>IF(ISNUMBER(Datos!N9),Datos!N9," - ")</f>
        <v>1799</v>
      </c>
      <c r="BE9" s="693" t="str">
        <f>IF(ISNUMBER(Datos!BW9),Datos!BW9," - ")</f>
        <v xml:space="preserve"> - </v>
      </c>
      <c r="BF9" s="762" t="str">
        <f>IF(ISNUMBER(Datos!BX9),Datos!BX9," - ")</f>
        <v xml:space="preserve"> - </v>
      </c>
      <c r="BG9" s="763">
        <f>IF(ISNUMBER(IF(J_V="SI",Datos!K9/Datos!J9,(Datos!K9+Datos!AA9)/(Datos!J9+Datos!Z9))),IF(J_V="SI",Datos!K9/Datos!J9,(Datos!K9+Datos!AA9)/(Datos!J9+Datos!Z9))," - ")</f>
        <v>0.91941115410021701</v>
      </c>
      <c r="BH9" s="764">
        <f>IF(ISNUMBER(((IF(J_V="SI",Datos!L9/Datos!K9,(Datos!L9+Datos!AB9)/(Datos!K9+Datos!AA9)))*11)/factor_trimestre),((IF(J_V="SI",Datos!L9/Datos!K9,(Datos!L9+Datos!AB9)/(Datos!K9+Datos!AA9)))*11)/factor_trimestre," - ")</f>
        <v>4.2981627835368981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-0.32147727272727272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138</v>
      </c>
      <c r="G10" s="543">
        <f>IF(ISNUMBER(Datos!I10),Datos!I10," - ")</f>
        <v>138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169</v>
      </c>
      <c r="AC10" s="547">
        <f>IF(ISNUMBER(Datos!Q10),Datos!Q10," - ")</f>
        <v>66</v>
      </c>
      <c r="AD10" s="549"/>
      <c r="AE10" s="563"/>
      <c r="AF10" s="551">
        <f>IF(ISNUMBER(Datos!L10),Datos!L10,"-")</f>
        <v>144</v>
      </c>
      <c r="AG10" s="549"/>
      <c r="AH10" s="549"/>
      <c r="AI10" s="549"/>
      <c r="AJ10" s="549"/>
      <c r="AK10" s="549"/>
      <c r="AL10" s="550"/>
      <c r="AM10" s="766">
        <f>IF(ISNUMBER(Datos!R10),Datos!R10," - ")</f>
        <v>123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78</v>
      </c>
      <c r="BD10" s="693">
        <f>IF(ISNUMBER(Datos!N10),Datos!N10," - ")</f>
        <v>89</v>
      </c>
      <c r="BE10" s="693" t="str">
        <f>IF(ISNUMBER(Datos!BW10),Datos!BW10," - ")</f>
        <v xml:space="preserve"> - </v>
      </c>
      <c r="BF10" s="762" t="str">
        <f>IF(ISNUMBER(Datos!BX10),Datos!BX10," - ")</f>
        <v xml:space="preserve"> - </v>
      </c>
      <c r="BG10" s="763">
        <f>IF(ISNUMBER(Datos!K10/Datos!J10),Datos!K10/Datos!J10," - ")</f>
        <v>0.96571428571428575</v>
      </c>
      <c r="BH10" s="764">
        <f>IF(ISNUMBER(((Datos!L10/Datos!K10)*11)/factor_trimestre),((Datos!L10/Datos!K10)*11)/factor_trimestre," - ")</f>
        <v>9.3727810650887573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-0.19607843137254902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1228</v>
      </c>
      <c r="O11" s="549"/>
      <c r="P11" s="549"/>
      <c r="Q11" s="547">
        <f>IF(ISNUMBER(Datos!P11),Datos!P11,0)</f>
        <v>469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1038</v>
      </c>
      <c r="AD11" s="549"/>
      <c r="AE11" s="563"/>
      <c r="AF11" s="551" t="str">
        <f>IF(ISNUMBER(IF(J_V="SI",Datos!L11,Datos!L11+Datos!AB11)-IF(Monitorios="SI",Datos!CD11,0)),
                          IF(J_V="SI",Datos!L11,Datos!L11+Datos!AB11)-IF(Monitorios="SI",Datos!CD11,0),
                          " - ")</f>
        <v xml:space="preserve"> - </v>
      </c>
      <c r="AG11" s="549"/>
      <c r="AH11" s="549">
        <f>IF(ISNUMBER(Datos!AB11),Datos!AB11,"-")</f>
        <v>120</v>
      </c>
      <c r="AI11" s="549"/>
      <c r="AJ11" s="549"/>
      <c r="AK11" s="549"/>
      <c r="AL11" s="550"/>
      <c r="AM11" s="766">
        <f>IF(ISNUMBER(Datos!R11),Datos!R11," - ")</f>
        <v>1164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924</v>
      </c>
      <c r="BD11" s="693">
        <f>IF(ISNUMBER(Datos!N11),Datos!N11," - ")</f>
        <v>2329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0.99943454905286966</v>
      </c>
      <c r="BH11" s="764">
        <f>IF(ISNUMBER(((IF(J_V="SI",Datos!L11/Datos!K11,(Datos!L11+Datos!AB11)/(Datos!K11+Datos!AA11)))*11)/factor_trimestre),((IF(J_V="SI",Datos!L11/Datos!K11,(Datos!L11+Datos!AB11)/(Datos!K11+Datos!AA11)))*11)/factor_trimestre," - ")</f>
        <v>3.3793493635077798</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-0.32833237160992501</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10</v>
      </c>
      <c r="F14" s="1197">
        <f t="shared" si="1"/>
        <v>138</v>
      </c>
      <c r="G14" s="1197">
        <f t="shared" si="1"/>
        <v>138</v>
      </c>
      <c r="H14" s="1198">
        <f t="shared" si="1"/>
        <v>0</v>
      </c>
      <c r="I14" s="1197">
        <f t="shared" si="1"/>
        <v>0</v>
      </c>
      <c r="J14" s="1164">
        <f t="shared" si="1"/>
        <v>0</v>
      </c>
      <c r="K14" s="1164">
        <f t="shared" si="1"/>
        <v>0</v>
      </c>
      <c r="L14" s="1198">
        <f t="shared" si="1"/>
        <v>0</v>
      </c>
      <c r="M14" s="1198">
        <f t="shared" si="1"/>
        <v>0</v>
      </c>
      <c r="N14" s="1198">
        <f t="shared" si="1"/>
        <v>1935</v>
      </c>
      <c r="O14" s="1199">
        <f t="shared" si="1"/>
        <v>0</v>
      </c>
      <c r="P14" s="1199">
        <f t="shared" si="1"/>
        <v>0</v>
      </c>
      <c r="Q14" s="1198">
        <f t="shared" si="1"/>
        <v>2381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169</v>
      </c>
      <c r="AC14" s="1198">
        <f t="shared" si="2"/>
        <v>5809</v>
      </c>
      <c r="AD14" s="1198">
        <f t="shared" si="2"/>
        <v>0</v>
      </c>
      <c r="AE14" s="1198">
        <f t="shared" si="2"/>
        <v>0</v>
      </c>
      <c r="AF14" s="1198">
        <f t="shared" si="2"/>
        <v>144</v>
      </c>
      <c r="AG14" s="1198">
        <f t="shared" si="2"/>
        <v>0</v>
      </c>
      <c r="AH14" s="1198">
        <f t="shared" si="2"/>
        <v>240</v>
      </c>
      <c r="AI14" s="1198">
        <f t="shared" si="2"/>
        <v>0</v>
      </c>
      <c r="AJ14" s="1198">
        <f t="shared" si="2"/>
        <v>0</v>
      </c>
      <c r="AK14" s="1198">
        <f t="shared" si="2"/>
        <v>0</v>
      </c>
      <c r="AL14" s="1198">
        <f t="shared" si="2"/>
        <v>0</v>
      </c>
      <c r="AM14" s="1198">
        <f t="shared" si="2"/>
        <v>7258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6007</v>
      </c>
      <c r="BD14" s="1198">
        <f t="shared" si="2"/>
        <v>4217</v>
      </c>
      <c r="BE14" s="1198">
        <f t="shared" si="2"/>
        <v>0</v>
      </c>
      <c r="BF14" s="1198">
        <f t="shared" si="2"/>
        <v>0</v>
      </c>
      <c r="BG14" s="1198">
        <f>IF(ISNUMBER(Datos!K14/Datos!J14),Datos!K14/Datos!J14," - ")</f>
        <v>0.9308226927428479</v>
      </c>
      <c r="BH14" s="1202">
        <f>IF(ISNUMBER(((Datos!L14/Datos!K14)*11)/factor_trimestre),((Datos!L14/Datos!K14)*11)/factor_trimestre," - ")</f>
        <v>4.581264108352145</v>
      </c>
      <c r="BI14" s="1198">
        <f>IF(ISNUMBER('Resol  Asuntos'!D14/NºAsuntos!G14),'Resol  Asuntos'!D14/NºAsuntos!G14," - ")</f>
        <v>0.44671673979326243</v>
      </c>
      <c r="BJ14" s="1198" t="str">
        <f>IF(ISNUMBER(Datos!CI14/Datos!CJ14),Datos!CI14/Datos!CJ14," - ")</f>
        <v xml:space="preserve"> - </v>
      </c>
      <c r="BK14" s="1198">
        <f>SUBTOTAL(9,BK8:BK13)</f>
        <v>0</v>
      </c>
      <c r="BL14" s="1198">
        <f>IF(ISNUMBER((I14-AB14+L14)/(F14)),(I14-AB14+L14)/(F14)," - ")</f>
        <v>-1.2246376811594204</v>
      </c>
      <c r="BM14" s="1203">
        <f>SUBTOTAL(9,BM9:BM13)</f>
        <v>-0.84588807570974678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2929</v>
      </c>
      <c r="G16" s="743">
        <f>IF(ISNUMBER(IF(D_I="SI",Datos!I16,Datos!I16+Datos!AC16)),IF(D_I="SI",Datos!I16,Datos!I16+Datos!AC16)," - ")</f>
        <v>2701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1068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8711</v>
      </c>
      <c r="AC16" s="240">
        <f>IF(ISNUMBER(Datos!Q16),Datos!Q16," - ")</f>
        <v>993</v>
      </c>
      <c r="AD16" s="374"/>
      <c r="AE16" s="562"/>
      <c r="AF16" s="741">
        <f>IF(ISNUMBER(IF(D_I="SI",Datos!L16,Datos!L16+Datos!AF16)),IF(D_I="SI",Datos!L16,Datos!L16+Datos!AF16)," - ")</f>
        <v>2902</v>
      </c>
      <c r="AG16" s="374"/>
      <c r="AH16" s="374"/>
      <c r="AI16" s="374"/>
      <c r="AJ16" s="549"/>
      <c r="AK16" s="374"/>
      <c r="AL16" s="545"/>
      <c r="AM16" s="375">
        <f>IF(ISNUMBER(Datos!R16),Datos!R16," - ")</f>
        <v>714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2273</v>
      </c>
      <c r="BD16" s="243">
        <f>IF(ISNUMBER(Datos!N16),Datos!N16," - ")</f>
        <v>3974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1.0031091662828189</v>
      </c>
      <c r="BH16" s="764">
        <f>IF(ISNUMBER(((IF(D_I="SI",Datos!L16/Datos!K16,(Datos!L16+Datos!AF16)/(Datos!K16+Datos!AE16)))*11)/factor_trimestre),((IF(D_I="SI",Datos!L16/Datos!K16,(Datos!L16+Datos!AF16)/(Datos!K16+Datos!AE16)))*11)/factor_trimestre," - ")</f>
        <v>3.6645620479853056</v>
      </c>
      <c r="BI16" s="266">
        <f>IF(ISNUMBER('Resol  Asuntos'!D16/NºAsuntos!G16),'Resol  Asuntos'!D16/NºAsuntos!G16," - ")</f>
        <v>0.26093445069452414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608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1509</v>
      </c>
      <c r="AC18" s="547">
        <f>IF(ISNUMBER(Datos!Q18),Datos!Q18," - ")</f>
        <v>6</v>
      </c>
      <c r="AD18" s="549"/>
      <c r="AE18" s="562"/>
      <c r="AF18" s="551">
        <f>IF(ISNUMBER(Datos!L18),Datos!L18,"-")</f>
        <v>665</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202</v>
      </c>
      <c r="BD18" s="693">
        <f>IF(ISNUMBER(Datos!N18),Datos!N18," - ")</f>
        <v>495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0.98885976408912191</v>
      </c>
      <c r="BH18" s="764">
        <f>IF(ISNUMBER(((IF(D_I="SI",Datos!L18/Datos!K18,(Datos!L18+Datos!AF18)/(Datos!K18+Datos!AE18)))*11)/factor_trimestre),((IF(D_I="SI",Datos!L18/Datos!K18,(Datos!L18+Datos!AF18)/(Datos!K18+Datos!AE18)))*11)/factor_trimestre," - ")</f>
        <v>4.8475811795891319</v>
      </c>
      <c r="BI18" s="763">
        <f>IF(ISNUMBER('Resol  Asuntos'!D18/NºAsuntos!G18),'Resol  Asuntos'!D18/NºAsuntos!G18," - ")</f>
        <v>0.13386348575215373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2929</v>
      </c>
      <c r="G23" s="1197">
        <f>SUBTOTAL(9,G16:G22)</f>
        <v>3309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1076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10220</v>
      </c>
      <c r="AC23" s="1198">
        <f t="shared" si="5"/>
        <v>999</v>
      </c>
      <c r="AD23" s="1198">
        <f t="shared" si="5"/>
        <v>0</v>
      </c>
      <c r="AE23" s="1198">
        <f t="shared" si="5"/>
        <v>0</v>
      </c>
      <c r="AF23" s="1198">
        <f t="shared" si="5"/>
        <v>3567</v>
      </c>
      <c r="AG23" s="1198">
        <f t="shared" si="5"/>
        <v>0</v>
      </c>
      <c r="AH23" s="1198">
        <f t="shared" si="5"/>
        <v>0</v>
      </c>
      <c r="AI23" s="1198">
        <f t="shared" si="5"/>
        <v>0</v>
      </c>
      <c r="AJ23" s="1198">
        <f t="shared" si="5"/>
        <v>0</v>
      </c>
      <c r="AK23" s="1198">
        <f t="shared" si="5"/>
        <v>0</v>
      </c>
      <c r="AL23" s="1198">
        <f t="shared" si="5"/>
        <v>0</v>
      </c>
      <c r="AM23" s="1198">
        <f t="shared" si="5"/>
        <v>718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2475</v>
      </c>
      <c r="BD23" s="1198">
        <f t="shared" si="5"/>
        <v>4469</v>
      </c>
      <c r="BE23" s="1198">
        <f t="shared" si="5"/>
        <v>0</v>
      </c>
      <c r="BF23" s="1198">
        <f t="shared" si="5"/>
        <v>0</v>
      </c>
      <c r="BG23" s="1198">
        <f>IF(ISNUMBER(Datos!K23/Datos!J23),Datos!K23/Datos!J23," - ")</f>
        <v>1.0009794319294809</v>
      </c>
      <c r="BH23" s="1202">
        <f>IF(ISNUMBER(((Datos!L23/Datos!K23)*11)/factor_trimestre),((Datos!L23/Datos!K23)*11)/factor_trimestre," - ")</f>
        <v>3.8392367906066536</v>
      </c>
      <c r="BI23" s="1198">
        <f>SUBTOTAL(9,BI16:BI22)</f>
        <v>0.39479793644667788</v>
      </c>
      <c r="BJ23" s="1198">
        <f>SUBTOTAL(9,BJ16:BJ22)</f>
        <v>0</v>
      </c>
      <c r="BK23" s="1198">
        <f>SUBTOTAL(9,BK16:BK22)</f>
        <v>0</v>
      </c>
      <c r="BL23" s="1198">
        <f>IF(ISNUMBER((I23-AB23+L23)/(F23)),(I23-AB23+L23)/(F23)," - ")</f>
        <v>-3.4892454762717651</v>
      </c>
      <c r="BM23" s="1205">
        <f>IF(ISNUMBER((Datos!P23-Datos!Q23)/(Datos!R23-Datos!P23+Datos!Q23)),(Datos!P23-Datos!Q23)/(Datos!R23-Datos!P23+Datos!Q23)," - ")</f>
        <v>0.12012480499219969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15</v>
      </c>
      <c r="F31" s="1117">
        <f t="shared" si="18"/>
        <v>3067</v>
      </c>
      <c r="G31" s="1117">
        <f t="shared" si="18"/>
        <v>3447</v>
      </c>
      <c r="H31" s="1119">
        <f t="shared" si="18"/>
        <v>0</v>
      </c>
      <c r="I31" s="1117">
        <f t="shared" si="18"/>
        <v>0</v>
      </c>
      <c r="J31" s="1119">
        <f t="shared" si="18"/>
        <v>0</v>
      </c>
      <c r="K31" s="1119">
        <f t="shared" si="18"/>
        <v>0</v>
      </c>
      <c r="L31" s="1180">
        <f t="shared" si="18"/>
        <v>0</v>
      </c>
      <c r="M31" s="1180">
        <f t="shared" si="18"/>
        <v>0</v>
      </c>
      <c r="N31" s="1180">
        <f t="shared" si="18"/>
        <v>1935</v>
      </c>
      <c r="O31" s="1180">
        <f t="shared" si="18"/>
        <v>0</v>
      </c>
      <c r="P31" s="1180">
        <f t="shared" si="18"/>
        <v>0</v>
      </c>
      <c r="Q31" s="1119">
        <f t="shared" si="18"/>
        <v>3457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10389</v>
      </c>
      <c r="AC31" s="1118">
        <f t="shared" si="19"/>
        <v>6808</v>
      </c>
      <c r="AD31" s="1118">
        <f t="shared" si="19"/>
        <v>0</v>
      </c>
      <c r="AE31" s="1118">
        <f t="shared" si="19"/>
        <v>0</v>
      </c>
      <c r="AF31" s="1125">
        <f t="shared" si="19"/>
        <v>3711</v>
      </c>
      <c r="AG31" s="1125">
        <f t="shared" si="19"/>
        <v>0</v>
      </c>
      <c r="AH31" s="1125">
        <f t="shared" si="19"/>
        <v>240</v>
      </c>
      <c r="AI31" s="1125">
        <f t="shared" si="19"/>
        <v>0</v>
      </c>
      <c r="AJ31" s="1118">
        <f t="shared" si="19"/>
        <v>0</v>
      </c>
      <c r="AK31" s="1125">
        <f t="shared" si="19"/>
        <v>0</v>
      </c>
      <c r="AL31" s="1125">
        <f t="shared" si="19"/>
        <v>0</v>
      </c>
      <c r="AM31" s="1125">
        <f t="shared" si="19"/>
        <v>7976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8482</v>
      </c>
      <c r="BD31" s="1117">
        <f t="shared" si="19"/>
        <v>8686</v>
      </c>
      <c r="BE31" s="1117">
        <f t="shared" si="19"/>
        <v>0</v>
      </c>
      <c r="BF31" s="1127">
        <f t="shared" si="19"/>
        <v>0</v>
      </c>
      <c r="BG31" s="1223">
        <f>IF(ISNUMBER(Datos!K31/Datos!J31),Datos!K31/Datos!J31," - ")</f>
        <v>0.96253985122210417</v>
      </c>
      <c r="BH31" s="1223">
        <f>IF(ISNUMBER(((Datos!L31/Datos!K31)*11)/factor_trimestre),((Datos!L31/Datos!K31)*11)/factor_trimestre," - ")</f>
        <v>4.23240408501242</v>
      </c>
      <c r="BI31" s="1103">
        <f>IF(ISNUMBER(Datos!J31/Datos!I31),Datos!J31/Datos!I31," - ")</f>
        <v>3.1030502885408078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-3.3873492011737856</v>
      </c>
      <c r="BM31" s="1188">
        <f>IF(ISNUMBER((Datos!P31-Datos!Q31+R31)/(Datos!R31-Datos!P31+Datos!Q31-R31)),(Datos!P31-Datos!Q31+R31)/(Datos!R31-Datos!P31+Datos!Q31-R31)," - ")</f>
        <v>-0.29584179394367438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984.85714285714289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2.8735535390036615</v>
      </c>
      <c r="F33" s="673">
        <f>IF(ISNUMBER(STDEV(F8:F30)),STDEV(F8:F30),"-")</f>
        <v>1478.1865466397217</v>
      </c>
      <c r="G33" s="674">
        <f>IF(ISNUMBER(STDEV(G8:G30)),STDEV(G8:G30),"-")</f>
        <v>1406.1192965714099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4490.5286145503223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2273.5335078047806</v>
      </c>
      <c r="BD33" s="673"/>
      <c r="BE33" s="673">
        <f>IF(ISNUMBER(STDEV(BE8:BE30)),STDEV(BE8:BE30),"-")</f>
        <v>0</v>
      </c>
      <c r="BF33" s="678">
        <f>IF(ISNUMBER(STDEV(BF8:BF30)),STDEV(BF8:BF30),"-")</f>
        <v>0</v>
      </c>
      <c r="BG33" s="1052">
        <f>IF(ISNUMBER(STDEV(BG8:BG30)),STDEV(BG8:BG30),"-")</f>
        <v>3.4982094641011444E-2</v>
      </c>
      <c r="BH33" s="1058">
        <f>IF(ISNUMBER(STDEV(BH8:BH30)),STDEV(BH8:BH30),"-")</f>
        <v>2.0583918246746</v>
      </c>
      <c r="BI33" s="273">
        <f>IF(ISNUMBER(STDEV(BI8:BI30)),STDEV(BI8:BI30),"-")</f>
        <v>0.14060613729972052</v>
      </c>
      <c r="BJ33" s="244" t="str">
        <f>IF(ISNUMBER(BL33/BM33),BL33/BM33," - ")</f>
        <v xml:space="preserve"> - </v>
      </c>
      <c r="BK33" s="709"/>
      <c r="BL33" s="681">
        <f>IF(ISNUMBER(STDEV(BL8:BL30)),STDEV(BL8:BL30),"-")</f>
        <v>1.6013195286518542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0vvav235pxJ+MOe/kyTf/NExEZ2nQgrm4Cz3EJQItiLDTWpAr+9oRZvKFgwN1Ap0IG6yRvzIj/KRFtw4hLUxSw==" saltValue="ec9VESvO3TJUG5n+rMIEE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ARABA-ALAVA  Resumenes por Partidos Judiciales  VITORIA-GASTEIZ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1876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4705</v>
      </c>
      <c r="AA9" s="551" t="str">
        <f>IF(ISNUMBER(IF(J_V="SI",Datos!L9,Datos!L9+Datos!AB9)-IF(Monitorios="SI",Datos!CD9,0)),
                          IF(J_V="SI",Datos!L9,Datos!L9+Datos!AB9)-IF(Monitorios="SI",Datos!CD9,0),
                          " - ")</f>
        <v xml:space="preserve"> - </v>
      </c>
      <c r="AB9" s="549"/>
      <c r="AC9" s="549"/>
      <c r="AD9" s="563"/>
      <c r="AE9" s="563">
        <f>IF(ISNUMBER(Datos!R9),Datos!R9," - ")</f>
        <v>5971</v>
      </c>
      <c r="AF9" s="693" t="str">
        <f>IF(ISNUMBER(Datos!BV9),Datos!BV9," - ")</f>
        <v xml:space="preserve"> - </v>
      </c>
      <c r="AG9" s="552" t="str">
        <f>IF(ISNUMBER(Datos!DV9),Datos!DV9," - ")</f>
        <v xml:space="preserve"> - </v>
      </c>
      <c r="AH9" s="553"/>
      <c r="AI9" s="554"/>
      <c r="AJ9" s="552">
        <f>IF(ISNUMBER(Datos!M9),Datos!M9," - ")</f>
        <v>5005</v>
      </c>
      <c r="AK9" s="693">
        <f>IF(ISNUMBER(Datos!N9),Datos!N9," - ")</f>
        <v>1799</v>
      </c>
      <c r="AL9" s="693" t="str">
        <f>IF(ISNUMBER(Datos!BW9),Datos!BW9," - ")</f>
        <v xml:space="preserve"> - </v>
      </c>
      <c r="AM9" s="762" t="str">
        <f>IF(ISNUMBER(Datos!BX9),Datos!BX9," - ")</f>
        <v xml:space="preserve"> - </v>
      </c>
      <c r="AN9" s="763"/>
      <c r="AO9" s="764">
        <f>IF(ISNUMBER(((NºAsuntos!I9/NºAsuntos!G9)*11)/factor_trimestre),((NºAsuntos!I9/NºAsuntos!G9)*11)/factor_trimestre," - ")</f>
        <v>4.2981627835368981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-0.32147727272727272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138</v>
      </c>
      <c r="G10" s="552">
        <f>IF(ISNUMBER(Datos!I10),Datos!I10," - ")</f>
        <v>138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169</v>
      </c>
      <c r="Z10" s="805">
        <f>IF(ISNUMBER(Datos!Q10),Datos!Q10," - ")</f>
        <v>66</v>
      </c>
      <c r="AA10" s="551">
        <f>IF(ISNUMBER(Datos!L10),Datos!L10,"-")</f>
        <v>144</v>
      </c>
      <c r="AB10" s="549"/>
      <c r="AC10" s="549"/>
      <c r="AD10" s="563"/>
      <c r="AE10" s="563">
        <f>IF(ISNUMBER(Datos!R10),Datos!R10," - ")</f>
        <v>123</v>
      </c>
      <c r="AF10" s="693" t="str">
        <f>IF(ISNUMBER(Datos!BV10),Datos!BV10," - ")</f>
        <v xml:space="preserve"> - </v>
      </c>
      <c r="AG10" s="552" t="str">
        <f>IF(ISNUMBER(Datos!DV10),Datos!DV10," - ")</f>
        <v xml:space="preserve"> - </v>
      </c>
      <c r="AH10" s="553"/>
      <c r="AI10" s="554"/>
      <c r="AJ10" s="552">
        <f>IF(ISNUMBER(Datos!M10),Datos!M10," - ")</f>
        <v>78</v>
      </c>
      <c r="AK10" s="693">
        <f>IF(ISNUMBER(Datos!N10),Datos!N10," - ")</f>
        <v>89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9.3727810650887573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-0.19607843137254902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469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1038</v>
      </c>
      <c r="AA11" s="551" t="str">
        <f>IF(ISNUMBER(IF(J_V="SI",Datos!L11,Datos!L11+Datos!AB11)-IF(Monitorios="SI",Datos!CD11,0)),
                          IF(J_V="SI",Datos!L11,Datos!L11+Datos!AB11)-IF(Monitorios="SI",Datos!CD11,0),
                          " - ")</f>
        <v xml:space="preserve"> - </v>
      </c>
      <c r="AB11" s="549"/>
      <c r="AC11" s="549"/>
      <c r="AD11" s="563"/>
      <c r="AE11" s="563">
        <f>IF(ISNUMBER(Datos!R11),Datos!R11," - ")</f>
        <v>1164</v>
      </c>
      <c r="AF11" s="693" t="str">
        <f>IF(ISNUMBER(Datos!BV11),Datos!BV11," - ")</f>
        <v xml:space="preserve"> - </v>
      </c>
      <c r="AG11" s="552" t="str">
        <f>IF(ISNUMBER(Datos!DV11),Datos!DV11," - ")</f>
        <v xml:space="preserve"> - </v>
      </c>
      <c r="AH11" s="553"/>
      <c r="AI11" s="554"/>
      <c r="AJ11" s="552">
        <f>IF(ISNUMBER(Datos!M11),Datos!M11," - ")</f>
        <v>924</v>
      </c>
      <c r="AK11" s="693">
        <f>IF(ISNUMBER(Datos!N11),Datos!N11," - ")</f>
        <v>2329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3.3793493635077798</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-0.32833237160992501</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10</v>
      </c>
      <c r="F14" s="1197">
        <f>SUBTOTAL(9,F8:F13)</f>
        <v>138</v>
      </c>
      <c r="G14" s="1197">
        <f>SUBTOTAL(9,G8:G13)</f>
        <v>138</v>
      </c>
      <c r="H14" s="1211"/>
      <c r="I14" s="1197">
        <f t="shared" ref="I14:N14" si="1">SUBTOTAL(9,I8:I13)</f>
        <v>0</v>
      </c>
      <c r="J14" s="1164">
        <f t="shared" si="1"/>
        <v>0</v>
      </c>
      <c r="K14" s="1211">
        <f t="shared" si="1"/>
        <v>0</v>
      </c>
      <c r="L14" s="1211">
        <f t="shared" si="1"/>
        <v>0</v>
      </c>
      <c r="M14" s="1211">
        <f t="shared" si="1"/>
        <v>0</v>
      </c>
      <c r="N14" s="1211">
        <f t="shared" si="1"/>
        <v>2381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169</v>
      </c>
      <c r="Z14" s="1210">
        <f t="shared" si="3"/>
        <v>5809</v>
      </c>
      <c r="AA14" s="1199">
        <f t="shared" si="3"/>
        <v>144</v>
      </c>
      <c r="AB14" s="1199">
        <f t="shared" si="3"/>
        <v>0</v>
      </c>
      <c r="AC14" s="1199">
        <f t="shared" si="3"/>
        <v>0</v>
      </c>
      <c r="AD14" s="1199">
        <f t="shared" si="3"/>
        <v>0</v>
      </c>
      <c r="AE14" s="1199">
        <f t="shared" si="3"/>
        <v>7258</v>
      </c>
      <c r="AF14" s="1211">
        <f t="shared" si="3"/>
        <v>0</v>
      </c>
      <c r="AG14" s="1211">
        <f t="shared" si="3"/>
        <v>0</v>
      </c>
      <c r="AH14" s="1211">
        <f t="shared" si="3"/>
        <v>0</v>
      </c>
      <c r="AI14" s="1211">
        <f t="shared" si="3"/>
        <v>0</v>
      </c>
      <c r="AJ14" s="1211">
        <f t="shared" si="3"/>
        <v>6007</v>
      </c>
      <c r="AK14" s="1211">
        <f t="shared" si="3"/>
        <v>4217</v>
      </c>
      <c r="AL14" s="1211">
        <f t="shared" si="3"/>
        <v>0</v>
      </c>
      <c r="AM14" s="1211">
        <f t="shared" si="3"/>
        <v>0</v>
      </c>
      <c r="AN14" s="1211">
        <f t="shared" si="3"/>
        <v>0</v>
      </c>
      <c r="AO14" s="1203">
        <f>IF(ISNUMBER(((NºAsuntos!I14/NºAsuntos!G14)*11)/factor_trimestre),((NºAsuntos!I14/NºAsuntos!G14)*11)/factor_trimestre," - ")</f>
        <v>4.1203986019186436</v>
      </c>
      <c r="AP14" s="1213" t="str">
        <f>IF(ISNUMBER(Datos!CI14/Datos!CJ14),Datos!CI14/Datos!CJ14," - ")</f>
        <v xml:space="preserve"> - </v>
      </c>
      <c r="AQ14" s="1236">
        <f t="shared" ref="AQ14:AV14" si="4">SUBTOTAL(9,AQ9:AQ13)</f>
        <v>0</v>
      </c>
      <c r="AR14" s="1236">
        <f t="shared" si="4"/>
        <v>-0.84588807570974678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2929</v>
      </c>
      <c r="G16" s="552">
        <f>IF(ISNUMBER(IF(D_I="SI",Datos!I16,Datos!I16+Datos!AC16)),IF(D_I="SI",Datos!I16,Datos!I16+Datos!AC16)," - ")</f>
        <v>2701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1068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8711</v>
      </c>
      <c r="Z16" s="805">
        <f>IF(ISNUMBER(Datos!Q16),Datos!Q16," - ")</f>
        <v>993</v>
      </c>
      <c r="AA16" s="551">
        <f>IF(ISNUMBER(IF(D_I="SI",Datos!L16,Datos!L16+Datos!AF16)),IF(D_I="SI",Datos!L16,Datos!L16+Datos!AF16)," - ")</f>
        <v>2902</v>
      </c>
      <c r="AB16" s="549"/>
      <c r="AC16" s="549"/>
      <c r="AD16" s="563"/>
      <c r="AE16" s="563">
        <f>IF(ISNUMBER(Datos!R16),Datos!R16," - ")</f>
        <v>714</v>
      </c>
      <c r="AF16" s="693" t="str">
        <f>IF(ISNUMBER(Datos!BV16),Datos!BV16," - ")</f>
        <v xml:space="preserve"> - </v>
      </c>
      <c r="AG16" s="552"/>
      <c r="AH16" s="553"/>
      <c r="AI16" s="554"/>
      <c r="AJ16" s="552">
        <f>IF(ISNUMBER(Datos!M16),Datos!M16," - ")</f>
        <v>2273</v>
      </c>
      <c r="AK16" s="693">
        <f>IF(ISNUMBER(Datos!N16),Datos!N16," - ")</f>
        <v>3974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3.6645620479853056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608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1509</v>
      </c>
      <c r="Z18" s="805">
        <f>IF(ISNUMBER(Datos!Q18),Datos!Q18," - ")</f>
        <v>6</v>
      </c>
      <c r="AA18" s="551">
        <f>IF(ISNUMBER(Datos!L18),Datos!L18,"-")</f>
        <v>665</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202</v>
      </c>
      <c r="AK18" s="693">
        <f>IF(ISNUMBER(Datos!N18),Datos!N18," - ")</f>
        <v>495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4.8475811795891319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2929</v>
      </c>
      <c r="G23" s="1197">
        <f>SUBTOTAL(9,G16:G22)</f>
        <v>3309</v>
      </c>
      <c r="H23" s="1240">
        <f>SUBTOTAL(9,H16:H22)</f>
        <v>0</v>
      </c>
      <c r="I23" s="1217">
        <f>SUBTOTAL(9,I16:I22)</f>
        <v>0</v>
      </c>
      <c r="J23" s="1164">
        <f>SUBTOTAL(9,J15:J22)</f>
        <v>0</v>
      </c>
      <c r="K23" s="1240">
        <f t="shared" ref="K23:S23" si="5">SUBTOTAL(9,K16:K22)</f>
        <v>0</v>
      </c>
      <c r="L23" s="1240">
        <f t="shared" si="5"/>
        <v>0</v>
      </c>
      <c r="M23" s="1240">
        <f t="shared" si="5"/>
        <v>0</v>
      </c>
      <c r="N23" s="1240">
        <f t="shared" si="5"/>
        <v>1076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10220</v>
      </c>
      <c r="Z23" s="1240">
        <f t="shared" si="6"/>
        <v>999</v>
      </c>
      <c r="AA23" s="1240">
        <f t="shared" si="6"/>
        <v>3567</v>
      </c>
      <c r="AB23" s="1240">
        <f t="shared" si="6"/>
        <v>0</v>
      </c>
      <c r="AC23" s="1240">
        <f t="shared" si="6"/>
        <v>0</v>
      </c>
      <c r="AD23" s="1240">
        <f t="shared" si="6"/>
        <v>0</v>
      </c>
      <c r="AE23" s="1240">
        <f t="shared" si="6"/>
        <v>718</v>
      </c>
      <c r="AF23" s="1240">
        <f t="shared" si="6"/>
        <v>0</v>
      </c>
      <c r="AG23" s="1240">
        <f t="shared" si="6"/>
        <v>0</v>
      </c>
      <c r="AH23" s="1240">
        <f t="shared" si="6"/>
        <v>0</v>
      </c>
      <c r="AI23" s="1240">
        <f t="shared" si="6"/>
        <v>0</v>
      </c>
      <c r="AJ23" s="1240">
        <f t="shared" si="6"/>
        <v>2475</v>
      </c>
      <c r="AK23" s="1240">
        <f t="shared" si="6"/>
        <v>4469</v>
      </c>
      <c r="AL23" s="1240">
        <f t="shared" si="6"/>
        <v>0</v>
      </c>
      <c r="AM23" s="1240">
        <f t="shared" si="6"/>
        <v>0</v>
      </c>
      <c r="AN23" s="1240">
        <f t="shared" si="6"/>
        <v>0</v>
      </c>
      <c r="AO23" s="1242">
        <f>IF(ISNUMBER(((NºAsuntos!I23/NºAsuntos!G23)*11)/factor_trimestre),((NºAsuntos!I23/NºAsuntos!G23)*11)/factor_trimestre," - ")</f>
        <v>3.8392367906066536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3067</v>
      </c>
      <c r="G31" s="1117">
        <f t="shared" si="12"/>
        <v>3447</v>
      </c>
      <c r="H31" s="1118">
        <f t="shared" si="12"/>
        <v>0</v>
      </c>
      <c r="I31" s="1117">
        <f t="shared" si="12"/>
        <v>0</v>
      </c>
      <c r="J31" s="1119">
        <f t="shared" si="12"/>
        <v>0</v>
      </c>
      <c r="K31" s="1117">
        <f t="shared" si="12"/>
        <v>0</v>
      </c>
      <c r="L31" s="1120">
        <f t="shared" si="12"/>
        <v>0</v>
      </c>
      <c r="M31" s="1117">
        <f t="shared" si="12"/>
        <v>0</v>
      </c>
      <c r="N31" s="1118">
        <f t="shared" si="12"/>
        <v>3457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10389</v>
      </c>
      <c r="Z31" s="1124">
        <f t="shared" si="13"/>
        <v>6808</v>
      </c>
      <c r="AA31" s="1125">
        <f t="shared" si="13"/>
        <v>3711</v>
      </c>
      <c r="AB31" s="1125">
        <f t="shared" si="13"/>
        <v>0</v>
      </c>
      <c r="AC31" s="1125">
        <f t="shared" si="13"/>
        <v>0</v>
      </c>
      <c r="AD31" s="1126">
        <f t="shared" si="13"/>
        <v>0</v>
      </c>
      <c r="AE31" s="1126">
        <f t="shared" si="13"/>
        <v>7976</v>
      </c>
      <c r="AF31" s="1127">
        <f t="shared" si="13"/>
        <v>0</v>
      </c>
      <c r="AG31" s="1128">
        <f t="shared" si="13"/>
        <v>0</v>
      </c>
      <c r="AH31" s="1129">
        <f t="shared" si="13"/>
        <v>0</v>
      </c>
      <c r="AI31" s="1127">
        <f t="shared" si="13"/>
        <v>0</v>
      </c>
      <c r="AJ31" s="1117">
        <f t="shared" si="13"/>
        <v>8482</v>
      </c>
      <c r="AK31" s="1117">
        <f t="shared" si="13"/>
        <v>8686</v>
      </c>
      <c r="AL31" s="1117">
        <f t="shared" si="13"/>
        <v>0</v>
      </c>
      <c r="AM31" s="1130">
        <f t="shared" si="13"/>
        <v>0</v>
      </c>
      <c r="AN31" s="1120">
        <f>IF(ISNUMBER(Datos!K31/Datos!J31),Datos!K31/Datos!J31," - ")</f>
        <v>0.96253985122210417</v>
      </c>
      <c r="AO31" s="1120">
        <f>IF(ISNUMBER(FIND("06",Criterios!A8,1)),(IF(ISNUMBER(((Datos!R31/Datos!Q31)*11)/factor_trimestre),((Datos!R31/Datos!Q31)*11)/factor_trimestre," - ")),(IF(ISNUMBER(((Datos!L31/Datos!K31)*11)/factor_trimestre),((Datos!L31/Datos!K31)*11)/factor_trimestre," - ")))</f>
        <v>4.23240408501242</v>
      </c>
      <c r="AP31" s="1131" t="str">
        <f>IF(ISNUMBER(Datos!CI31/Datos!CJ31),Datos!CI31/Datos!CJ31," - ")</f>
        <v xml:space="preserve"> - </v>
      </c>
      <c r="AQ31" s="1131">
        <f>IF(OR(ISNUMBER(FIND("01",Criterios!A8,1)),ISNUMBER(FIND("02",Criterios!A8,1)),ISNUMBER(FIND("03",Criterios!A8,1)),ISNUMBER(FIND("04",Criterios!A8,1))),(J31-Y31+K31)/(F31-K31),(I31-Y31+K31)/(F31-K31))</f>
        <v>-3.3873492011737856</v>
      </c>
      <c r="AR31" s="1131">
        <f>IF(ISNUMBER((Datos!P31-Datos!Q31+O31)/(Datos!R31-Datos!P31+Datos!Q31-O31)),(Datos!P31-Datos!Q31+O31)/(Datos!R31-Datos!P31+Datos!Q31-O31)," - ")</f>
        <v>-0.29584179394367438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984.85714285714289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1478.1865466397217</v>
      </c>
      <c r="G33" s="674">
        <f>IF(ISNUMBER(STDEV(G8:G30)),STDEV(G8:G30),"-")</f>
        <v>1406.1192965714099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2273.5335078047806</v>
      </c>
      <c r="AK33" s="276"/>
      <c r="AL33" s="276">
        <f>IF(ISNUMBER(STDEV(AL8:AL30)),STDEV(AL8:AL30),"-")</f>
        <v>0</v>
      </c>
      <c r="AM33" s="278">
        <f>IF(ISNUMBER(STDEV(AM8:AM30)),STDEV(AM8:AM30),"-")</f>
        <v>0</v>
      </c>
      <c r="AN33" s="660">
        <f>IF(ISNUMBER(STDEV(AN8:AN30)),STDEV(AN8:AN30),"-")</f>
        <v>0</v>
      </c>
      <c r="AO33" s="661">
        <f>IF(ISNUMBER(STDEV(AO8:AO30)),STDEV(AO8:AO30),"-")</f>
        <v>2.0758915861861293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mSHtawWmcx17xEJqZ86260wQq7mz2q8SUMDOJC5MrsSIIrR5xwnKJbueyYW+o1dc5Gaes0sffyHXyRswRFh68A==" saltValue="M+DpISEQkgg+AwZXNYDQ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dJouNWzmh7m7i39ODrXbv+SQKxBeOjzhNxoMWVo4InZ/BEPq/tiKUEtwhCBzKCek68XSva1SBIZdVYpCZpdVQ==" saltValue="K9U/G5a7ZnYmlIXtG2jl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w9Ayh0srGaRv4oq8rmY5sm8dPGzUUEAwKVcRl8a3oQM0w/9Dy8Pr3f0roNg0VM93d2t2wUHuWxqeGCCXqij4Q==" saltValue="IYebEyzlWoWF3OwGeOkmT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ARABA-ALAVA  Resumenes por Partidos Judiciales  VITORIA-GASTEIZ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0.44671673979326243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0.31587643597736231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qFpUDZ8LNF0dPNlOmoHQMXsL8KR18bQx+SDSlqnL0vN3bhJGjtTzua4Q81VaTh5DrgWp5hJCbJMbgfXhqH1mMg==" saltValue="VYAqx+b/WOiz8zWoxWty8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9Ue/6gd8PaZUqwKJJ3mEeDHqPsMf4plEUksa8vasEggItKNHBfsysaWRlyI34UQ2bf3uZHG4nNn19NocndC8qg==" saltValue="G/7Ulf9Ih8GEC3If00L2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ARABA-ALAVA</v>
      </c>
      <c r="D3" s="436"/>
      <c r="E3" s="436"/>
      <c r="F3" s="436"/>
    </row>
    <row r="4" spans="1:14" ht="13.5" thickBot="1">
      <c r="A4" s="436"/>
      <c r="B4" s="439" t="str">
        <f>Criterios!A11 &amp;"  "&amp;Criterios!B11</f>
        <v>Resumenes por Partidos Judiciales  VITORIA-GASTEIZ</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2955</v>
      </c>
      <c r="D9" s="452">
        <f>IF(ISNUMBER(C9/Datos!BH9),C9/Datos!BH9," - ")</f>
        <v>492.5</v>
      </c>
      <c r="E9" s="451">
        <f>IF(ISNUMBER(IF(J_V="SI",Datos!J9,Datos!J9+Datos!Z9)),IF(J_V="SI",Datos!J9,Datos!J9+Datos!Z9)," - ")</f>
        <v>10597</v>
      </c>
      <c r="F9" s="452">
        <f>IF(ISNUMBER(E9/B9),E9/B9," - ")</f>
        <v>1513.8571428571429</v>
      </c>
      <c r="G9" s="451">
        <f>IF(ISNUMBER(IF(J_V="SI",Datos!K9,Datos!K9+Datos!AA9)),IF(J_V="SI",Datos!K9,Datos!K9+Datos!AA9)," - ")</f>
        <v>9743</v>
      </c>
      <c r="H9" s="452">
        <f>IF(ISNUMBER(G9/B9),G9/B9," - ")</f>
        <v>1391.8571428571429</v>
      </c>
      <c r="I9" s="451">
        <f>IF(ISNUMBER(IF(J_V="SI",Datos!L9,Datos!L9+Datos!AB9)),IF(J_V="SI",Datos!L9,Datos!L9+Datos!AB9)," - ")</f>
        <v>3807</v>
      </c>
      <c r="J9" s="452">
        <f>IF(ISNUMBER(I9/B9),I9/B9," - ")</f>
        <v>543.85714285714289</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138</v>
      </c>
      <c r="D10" s="452">
        <f>IF(ISNUMBER(C10/Datos!BH10),C10/Datos!BH10," - ")</f>
        <v>138</v>
      </c>
      <c r="E10" s="451">
        <f>IF(ISNUMBER(Datos!J10),Datos!J10," - ")</f>
        <v>175</v>
      </c>
      <c r="F10" s="452">
        <f>IF(ISNUMBER(E10/B10),E10/B10," - ")</f>
        <v>175</v>
      </c>
      <c r="G10" s="451">
        <f>IF(ISNUMBER(Datos!K10),Datos!K10," - ")</f>
        <v>169</v>
      </c>
      <c r="H10" s="452">
        <f>IF(ISNUMBER(G10/B10),G10/B10," - ")</f>
        <v>169</v>
      </c>
      <c r="I10" s="451">
        <f>IF(ISNUMBER(Datos!L10),Datos!L10," - ")</f>
        <v>144</v>
      </c>
      <c r="J10" s="452">
        <f>IF(ISNUMBER(I10/B10),I10/B10," - ")</f>
        <v>144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1110</v>
      </c>
      <c r="D11" s="452">
        <f>IF(ISNUMBER(C11/Datos!BH11),C11/Datos!BH11," - ")</f>
        <v>555</v>
      </c>
      <c r="E11" s="451">
        <f>IF(ISNUMBER(IF(J_V="SI",Datos!J11,Datos!J11+Datos!Z11)),IF(J_V="SI",Datos!J11,Datos!J11+Datos!Z11)," - ")</f>
        <v>3537</v>
      </c>
      <c r="F11" s="452">
        <f>IF(ISNUMBER(E11/B11),E11/B11," - ")</f>
        <v>1768.5</v>
      </c>
      <c r="G11" s="451">
        <f>IF(ISNUMBER(IF(J_V="SI",Datos!K11,Datos!K11+Datos!AA11)),IF(J_V="SI",Datos!K11,Datos!K11+Datos!AA11)," - ")</f>
        <v>3535</v>
      </c>
      <c r="H11" s="452">
        <f>IF(ISNUMBER(G11/B11),G11/B11," - ")</f>
        <v>1767.5</v>
      </c>
      <c r="I11" s="451">
        <f>IF(ISNUMBER(IF(J_V="SI",Datos!L11,Datos!L11+Datos!AB11)),IF(J_V="SI",Datos!L11,Datos!L11+Datos!AB11)," - ")</f>
        <v>1086</v>
      </c>
      <c r="J11" s="452">
        <f>IF(ISNUMBER(I11/B11),I11/B11," - ")</f>
        <v>543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4203</v>
      </c>
      <c r="D14" s="1147" t="str">
        <f>IF(ISNUMBER(C14/Datos!BI14),C14/Datos!BI14," - ")</f>
        <v xml:space="preserve"> - </v>
      </c>
      <c r="E14" s="1146">
        <f>SUBTOTAL(9,E8:E13)</f>
        <v>14309</v>
      </c>
      <c r="F14" s="1147">
        <f>IF(ISNUMBER(E14/B14),E14/B14," - ")</f>
        <v>1430.9</v>
      </c>
      <c r="G14" s="1146">
        <f>SUBTOTAL(9,G8:G13)</f>
        <v>13447</v>
      </c>
      <c r="H14" s="1147">
        <f>IF(ISNUMBER(G14/B14),G14/B14," - ")</f>
        <v>1344.7</v>
      </c>
      <c r="I14" s="1146">
        <f>SUBTOTAL(9,I8:I13)</f>
        <v>5037</v>
      </c>
      <c r="J14" s="1147">
        <f>IF(ISNUMBER(I14/B14),I14/B14," - ")</f>
        <v>503.7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2701</v>
      </c>
      <c r="D16" s="452">
        <f>IF(ISNUMBER(C16/Datos!BH16),C16/Datos!BH16," - ")</f>
        <v>675.25</v>
      </c>
      <c r="E16" s="451">
        <f>IF(ISNUMBER(IF(D_I="SI",Datos!J16,Datos!J16+Datos!AD16)),IF(D_I="SI",Datos!J16,Datos!J16+Datos!AD16)," - ")</f>
        <v>8684</v>
      </c>
      <c r="F16" s="452">
        <f>IF(ISNUMBER(E16/B16),E16/B16," - ")</f>
        <v>2171</v>
      </c>
      <c r="G16" s="451">
        <f>IF(ISNUMBER(IF(D_I="SI",Datos!K16,Datos!K16+Datos!AE16)),IF(D_I="SI",Datos!K16,Datos!K16+Datos!AE16)," - ")</f>
        <v>8711</v>
      </c>
      <c r="H16" s="452">
        <f>IF(ISNUMBER(G16/B16),G16/B16," - ")</f>
        <v>2177.75</v>
      </c>
      <c r="I16" s="451">
        <f>IF(ISNUMBER(IF(D_I="SI",Datos!L16,Datos!L16+Datos!AF16)),IF(D_I="SI",Datos!L16,Datos!L16+Datos!AF16)," - ")</f>
        <v>2902</v>
      </c>
      <c r="J16" s="452">
        <f>IF(ISNUMBER(I16/B16),I16/B16," - ")</f>
        <v>725.5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608</v>
      </c>
      <c r="D18" s="452">
        <f>IF(ISNUMBER(C18/Datos!BH18),C18/Datos!BH18," - ")</f>
        <v>608</v>
      </c>
      <c r="E18" s="451">
        <f>IF(ISNUMBER(IF(D_I="SI",Datos!J18,Datos!J18+Datos!AD18)),IF(D_I="SI",Datos!J18,Datos!J18+Datos!AD18)," - ")</f>
        <v>1526</v>
      </c>
      <c r="F18" s="452">
        <f>IF(ISNUMBER(E18/B18),E18/B18," - ")</f>
        <v>1526</v>
      </c>
      <c r="G18" s="451">
        <f>IF(ISNUMBER(IF(D_I="SI",Datos!K18,Datos!K18+Datos!AE18)),IF(D_I="SI",Datos!K18,Datos!K18+Datos!AE18)," - ")</f>
        <v>1509</v>
      </c>
      <c r="H18" s="452">
        <f>IF(ISNUMBER(G18/B18),G18/B18," - ")</f>
        <v>1509</v>
      </c>
      <c r="I18" s="451">
        <f>IF(ISNUMBER(IF(D_I="SI",Datos!L18,Datos!L18+Datos!AF18)),IF(D_I="SI",Datos!L18,Datos!L18+Datos!AF18)," - ")</f>
        <v>665</v>
      </c>
      <c r="J18" s="452">
        <f>IF(ISNUMBER(I18/B18),I18/B18," - ")</f>
        <v>665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3309</v>
      </c>
      <c r="D23" s="1147" t="str">
        <f>IF(ISNUMBER(C23/Datos!BI23),C23/Datos!BI23," - ")</f>
        <v xml:space="preserve"> - </v>
      </c>
      <c r="E23" s="1146">
        <f>SUBTOTAL(9,E15:E22)</f>
        <v>10210</v>
      </c>
      <c r="F23" s="1147">
        <f>IF(ISNUMBER(E23/B23),E23/B23," - ")</f>
        <v>2042</v>
      </c>
      <c r="G23" s="1146">
        <f>SUBTOTAL(9,G15:G22)</f>
        <v>10220</v>
      </c>
      <c r="H23" s="1147">
        <f>IF(ISNUMBER(G23/B23),G23/B23," - ")</f>
        <v>2044</v>
      </c>
      <c r="I23" s="1146">
        <f>SUBTOTAL(9,I15:I22)</f>
        <v>3567</v>
      </c>
      <c r="J23" s="1147">
        <f>IF(ISNUMBER(I23/B23),I23/B23," - ")</f>
        <v>713.4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7512</v>
      </c>
      <c r="D31" s="1085" t="str">
        <f>IF(ISNUMBER(C31/Datos!BI31),C31/Datos!BI31," - ")</f>
        <v xml:space="preserve"> - </v>
      </c>
      <c r="E31" s="1084">
        <f>SUBTOTAL(9,E9:E30)</f>
        <v>24519</v>
      </c>
      <c r="F31" s="1085">
        <f>IF(ISNUMBER(E31/B31),E31/B31," - ")</f>
        <v>1751.3571428571429</v>
      </c>
      <c r="G31" s="1084">
        <f>SUBTOTAL(9,G9:G30)</f>
        <v>23667</v>
      </c>
      <c r="H31" s="1085">
        <f>IF(ISNUMBER(G31/B31),G31/B31," - ")</f>
        <v>1690.5</v>
      </c>
      <c r="I31" s="1084">
        <f>SUBTOTAL(9,I9:I30)</f>
        <v>8604</v>
      </c>
      <c r="J31" s="1085">
        <f>IF(ISNUMBER(I31/B31),I31/B31," - ")</f>
        <v>614.57142857142856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K0oNPDpwBRSwtgeYAFKXqRIcfF/w3Nz/W5c2cOXw2adTWDiAHDR6EHAv9NZer4Z/KJTORNV2dB85miXUEj4AzA==" saltValue="8L9sySKWXOKugdN8plyGN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ARABA-ALAVA  Resumenes por Partidos Judiciales  VITORIA-GASTEIZ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321</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138</v>
      </c>
      <c r="G10" s="906">
        <f>IF(ISNUMBER(Datos!I10),Datos!I10," - ")</f>
        <v>138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169</v>
      </c>
      <c r="AC10" s="905" t="str">
        <f>IF(ISNUMBER(IF(D_I="SI",DatosP!K18,DatosP!K18+DatosP!AE18)),IF(D_I="SI",DatosP!K18,DatosP!K18+DatosP!AE18)," - ")</f>
        <v xml:space="preserve"> - </v>
      </c>
      <c r="AD10" s="907"/>
      <c r="AE10" s="907"/>
      <c r="AF10" s="910">
        <f>IF(ISNUMBER(Datos!L10),Datos!L10,"-")</f>
        <v>144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78</v>
      </c>
      <c r="AM10" s="914">
        <f>IF(ISNUMBER(Datos!N10+DatosP!N18),Datos!N10+DatosP!N18," - ")</f>
        <v>89</v>
      </c>
      <c r="AN10" s="914">
        <f>IF(ISNUMBER(Datos!BW10+DatosP!BW18),Datos!BW10+DatosP!BW18," - ")</f>
        <v>0</v>
      </c>
      <c r="AO10" s="915">
        <f>IF(ISNUMBER(Datos!BX10+DatosP!BX18),Datos!BX10+DatosP!BX18," - ")</f>
        <v>0</v>
      </c>
      <c r="AP10" s="917">
        <f>IF(ISNUMBER(((Datos!L10/Datos!K10)*11)/factor_trimestre),((Datos!L10/Datos!K10)*11)/factor_trimestre," - ")</f>
        <v>9.3727810650887573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138</v>
      </c>
      <c r="G14" s="1256">
        <f t="shared" si="0"/>
        <v>138</v>
      </c>
      <c r="H14" s="1256">
        <f t="shared" si="0"/>
        <v>0</v>
      </c>
      <c r="I14" s="1258">
        <f t="shared" si="0"/>
        <v>0</v>
      </c>
      <c r="J14" s="1257">
        <f t="shared" si="0"/>
        <v>0</v>
      </c>
      <c r="K14" s="1257">
        <f t="shared" si="0"/>
        <v>0</v>
      </c>
      <c r="L14" s="1259">
        <f t="shared" si="0"/>
        <v>0</v>
      </c>
      <c r="M14" s="1259">
        <f t="shared" si="0"/>
        <v>0</v>
      </c>
      <c r="N14" s="1257">
        <f t="shared" si="0"/>
        <v>36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169</v>
      </c>
      <c r="AC14" s="1257">
        <f t="shared" si="1"/>
        <v>0</v>
      </c>
      <c r="AD14" s="1257">
        <f t="shared" si="1"/>
        <v>0</v>
      </c>
      <c r="AE14" s="1257">
        <f t="shared" si="1"/>
        <v>0</v>
      </c>
      <c r="AF14" s="1257">
        <f t="shared" si="1"/>
        <v>144</v>
      </c>
      <c r="AG14" s="1257">
        <f t="shared" si="1"/>
        <v>0</v>
      </c>
      <c r="AH14" s="1257">
        <f t="shared" si="1"/>
        <v>0</v>
      </c>
      <c r="AI14" s="1257">
        <f t="shared" si="1"/>
        <v>0</v>
      </c>
      <c r="AJ14" s="1257">
        <f t="shared" si="1"/>
        <v>0</v>
      </c>
      <c r="AK14" s="1257">
        <f t="shared" si="1"/>
        <v>0</v>
      </c>
      <c r="AL14" s="1257">
        <f t="shared" si="1"/>
        <v>78</v>
      </c>
      <c r="AM14" s="1257">
        <f t="shared" si="1"/>
        <v>89</v>
      </c>
      <c r="AN14" s="1257">
        <f t="shared" si="1"/>
        <v>0</v>
      </c>
      <c r="AO14" s="1257">
        <f t="shared" si="1"/>
        <v>0</v>
      </c>
      <c r="AP14" s="1262">
        <f>IF(ISNUMBER(((Datos!L14/Datos!K14)*11)/factor_trimestre),((Datos!L14/Datos!K14)*11)/factor_trimestre," - ")</f>
        <v>4.581264108352145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-1.2246376811594204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3.8392367906066536</v>
      </c>
      <c r="AQ23" s="1262">
        <f>IF(ISNUMBER(((Datos!M23/Datos!L23)*11)/factor_trimestre),((Datos!M23/Datos!L23)*11)/factor_trimestre," - ")</f>
        <v>7.6324642556770392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0.12012480499219969</v>
      </c>
      <c r="AW23" s="1265">
        <f>IF(ISNUMBER((Datos!Q23-Datos!R23)/(Datos!S23-Datos!Q23+Datos!R23)),(Datos!Q23-Datos!R23)/(Datos!S23-Datos!Q23+Datos!R23)," - ")</f>
        <v>8.9291388624086435E-2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138</v>
      </c>
      <c r="G31" s="1278">
        <f t="shared" si="8"/>
        <v>138</v>
      </c>
      <c r="H31" s="1278">
        <f t="shared" si="8"/>
        <v>0</v>
      </c>
      <c r="I31" s="1279">
        <f t="shared" si="8"/>
        <v>0</v>
      </c>
      <c r="J31" s="1280">
        <f t="shared" si="8"/>
        <v>0</v>
      </c>
      <c r="K31" s="1280">
        <f t="shared" si="8"/>
        <v>0</v>
      </c>
      <c r="L31" s="1280">
        <f t="shared" si="8"/>
        <v>0</v>
      </c>
      <c r="M31" s="1280">
        <f t="shared" si="8"/>
        <v>0</v>
      </c>
      <c r="N31" s="1279">
        <f t="shared" si="8"/>
        <v>36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169</v>
      </c>
      <c r="AC31" s="1284">
        <f t="shared" si="9"/>
        <v>0</v>
      </c>
      <c r="AD31" s="1284">
        <f t="shared" si="9"/>
        <v>0</v>
      </c>
      <c r="AE31" s="1284">
        <f t="shared" si="9"/>
        <v>0</v>
      </c>
      <c r="AF31" s="1285">
        <f t="shared" si="9"/>
        <v>144</v>
      </c>
      <c r="AG31" s="1285">
        <f t="shared" si="9"/>
        <v>0</v>
      </c>
      <c r="AH31" s="1285">
        <f t="shared" si="9"/>
        <v>0</v>
      </c>
      <c r="AI31" s="1285">
        <f t="shared" si="9"/>
        <v>0</v>
      </c>
      <c r="AJ31" s="1286">
        <f t="shared" si="9"/>
        <v>0</v>
      </c>
      <c r="AK31" s="1286">
        <f t="shared" si="9"/>
        <v>0</v>
      </c>
      <c r="AL31" s="1278">
        <f t="shared" si="9"/>
        <v>78</v>
      </c>
      <c r="AM31" s="1278">
        <f t="shared" si="9"/>
        <v>89</v>
      </c>
      <c r="AN31" s="1278">
        <f t="shared" si="9"/>
        <v>0</v>
      </c>
      <c r="AO31" s="1278">
        <f t="shared" si="9"/>
        <v>0</v>
      </c>
      <c r="AP31" s="1278">
        <f>IF(ISNUMBER(((Datos!L31/Datos!K31)*11)/factor_trimestre),((Datos!L31/Datos!K31)*11)/factor_trimestre," - ")</f>
        <v>4.23240408501242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-1.2246376811594204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-0.29584179394367438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3.7006005518624194</v>
      </c>
      <c r="F33" s="1006">
        <f>IF(ISNUMBER(STDEV(F8:F30)),STDEV(F8:F30),"-")</f>
        <v>75.58571293571292</v>
      </c>
      <c r="G33" s="1007">
        <f>IF(ISNUMBER(STDEV(G8:G30)),STDEV(G8:G30),"-")</f>
        <v>75.58571293571292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92.565112218373073</v>
      </c>
      <c r="AC33" s="1008">
        <f>IF(ISNUMBER(STDEV(AC8:AC30)),STDEV(AC8:AC30),"-")</f>
        <v>0</v>
      </c>
      <c r="AD33" s="1011"/>
      <c r="AE33" s="1011"/>
      <c r="AF33" s="1011"/>
      <c r="AG33" s="1011"/>
      <c r="AH33" s="1011"/>
      <c r="AI33" s="1011"/>
      <c r="AJ33" s="1012">
        <f>IF(ISNUMBER(STDEV(AJ8:AJ30)),STDEV(AJ8:AJ30),"-")</f>
        <v>0</v>
      </c>
      <c r="AK33" s="1014"/>
      <c r="AL33" s="1006">
        <f>IF(ISNUMBER(STDEV(AL8:AL30)),STDEV(AL8:AL30),"-")</f>
        <v>42.722359485402954</v>
      </c>
      <c r="AM33" s="1006"/>
      <c r="AN33" s="1006">
        <f>IF(ISNUMBER(STDEV(AN8:AN30)),STDEV(AN8:AN30),"-")</f>
        <v>0</v>
      </c>
      <c r="AO33" s="1012">
        <f>IF(ISNUMBER(STDEV(AO8:AO30)),STDEV(AO8:AO30),"-")</f>
        <v>0</v>
      </c>
      <c r="AP33" s="1065">
        <f>IF(ISNUMBER(STDEV(AP8:AP30)),STDEV(AP8:AP30),"-")</f>
        <v>3.0035909487541921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Kfzf/IkjYz+1CWTbrF6qtxfp9k6DCz+JKE3hMmLKFKz/NUIAbwmdh1NZsgqki8kRlSlkuF+8MHr3G8Eo3lM/+Q==" saltValue="F/pOECD3/9iPK8uDhdWut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ARABA-ALAVA</v>
      </c>
      <c r="C3" s="463"/>
      <c r="F3" s="436"/>
      <c r="G3" s="436"/>
      <c r="H3" s="436"/>
    </row>
    <row r="4" spans="1:15" ht="13.5" thickBot="1">
      <c r="A4" s="436"/>
      <c r="B4" s="439" t="str">
        <f>Criterios!A11 &amp;"  "&amp;Criterios!B11</f>
        <v>Resumenes por Partidos Judiciales  VITORIA-GASTEIZ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1.1666666666666667</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JpmMZ8BCKSist9MmvZxTBbVYH53/JsAk47mpbOnQ/MYZ++iAQ0wkk9rguH1BONy92R7AF44aTF9wAWY24KRi1w==" saltValue="a0kCPx5tyLSUd0bamvdVs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ARABA-ALAVA</v>
      </c>
      <c r="C3" s="475"/>
      <c r="D3" s="476"/>
    </row>
    <row r="4" spans="1:9" ht="13.5" thickBot="1">
      <c r="B4" s="477" t="str">
        <f>Criterios!A11 &amp;"  "&amp;Criterios!B11</f>
        <v>Resumenes por Partidos Judiciales  VITORIA-GASTEIZ</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5005</v>
      </c>
      <c r="E9" s="452">
        <f t="shared" ref="E9:E14" si="0">IF(ISNUMBER(D9/B9),D9/B9," - ")</f>
        <v>715</v>
      </c>
      <c r="F9" s="451">
        <f>IF(ISNUMBER(Datos!N9),Datos!N9," - ")</f>
        <v>1799</v>
      </c>
      <c r="G9" s="452">
        <f t="shared" ref="G9:G14" si="1">IF(ISNUMBER(F9/B9),F9/B9," - ")</f>
        <v>257</v>
      </c>
      <c r="H9" s="451">
        <f>IF(ISNUMBER(Datos!O9),Datos!O9," - ")</f>
        <v>3830</v>
      </c>
      <c r="I9" s="452">
        <f>IF(ISNUMBER(H9/B9),H9/B9," - ")</f>
        <v>547.14285714285711</v>
      </c>
    </row>
    <row r="10" spans="1:9">
      <c r="A10" s="450" t="str">
        <f>Datos!A10</f>
        <v>Jdos. Violencia contra la mujer</v>
      </c>
      <c r="B10" s="480">
        <f>Datos!AO10</f>
        <v>1</v>
      </c>
      <c r="C10" s="458">
        <f>Datos!AQ10</f>
        <v>1</v>
      </c>
      <c r="D10" s="451">
        <f>IF(ISNUMBER(Datos!M10),Datos!M10," - ")</f>
        <v>78</v>
      </c>
      <c r="E10" s="452">
        <f>IF(ISNUMBER(D10/B10),D10/B10," - ")</f>
        <v>78</v>
      </c>
      <c r="F10" s="451">
        <f>IF(ISNUMBER(Datos!N10),Datos!N10," - ")</f>
        <v>89</v>
      </c>
      <c r="G10" s="452">
        <f>IF(ISNUMBER(F10/B10),F10/B10," - ")</f>
        <v>89</v>
      </c>
      <c r="H10" s="451">
        <f>IF(ISNUMBER(Datos!O10),Datos!O10," - ")</f>
        <v>0</v>
      </c>
      <c r="I10" s="452">
        <f t="shared" ref="I10:I13" si="2">IF(ISNUMBER(H10/B10),H10/B10," - ")</f>
        <v>0</v>
      </c>
    </row>
    <row r="11" spans="1:9">
      <c r="A11" s="450" t="str">
        <f>Datos!A11</f>
        <v xml:space="preserve">Jdos. Familia                                   </v>
      </c>
      <c r="B11" s="480">
        <f>Datos!AO11</f>
        <v>2</v>
      </c>
      <c r="C11" s="458">
        <f>Datos!AQ11</f>
        <v>2</v>
      </c>
      <c r="D11" s="451">
        <f>IF(ISNUMBER(Datos!M11),Datos!M11," - ")</f>
        <v>924</v>
      </c>
      <c r="E11" s="452">
        <f t="shared" si="0"/>
        <v>462</v>
      </c>
      <c r="F11" s="451">
        <f>IF(ISNUMBER(Datos!N11),Datos!N11," - ")</f>
        <v>2329</v>
      </c>
      <c r="G11" s="452">
        <f t="shared" si="1"/>
        <v>1164.5</v>
      </c>
      <c r="H11" s="451">
        <f>IF(ISNUMBER(Datos!O11),Datos!O11," - ")</f>
        <v>992</v>
      </c>
      <c r="I11" s="452">
        <f t="shared" si="2"/>
        <v>496</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6007</v>
      </c>
      <c r="E14" s="1147">
        <f t="shared" si="0"/>
        <v>600.70000000000005</v>
      </c>
      <c r="F14" s="1146">
        <f>SUBTOTAL(9,F9:F13)</f>
        <v>4217</v>
      </c>
      <c r="G14" s="1147">
        <f t="shared" si="1"/>
        <v>421.7</v>
      </c>
      <c r="H14" s="1146">
        <f>SUBTOTAL(9,H9:H13)</f>
        <v>4822</v>
      </c>
      <c r="I14" s="1147">
        <f>IF(ISNUMBER(H14/B14),H14/B14," - ")</f>
        <v>482.2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2273</v>
      </c>
      <c r="E16" s="452">
        <f t="shared" ref="E16:E23" si="3">IF(ISNUMBER(D16/B16),D16/B16," - ")</f>
        <v>568.25</v>
      </c>
      <c r="F16" s="451">
        <f>IF(ISNUMBER(Datos!N16),Datos!N16," - ")</f>
        <v>3974</v>
      </c>
      <c r="G16" s="452">
        <f t="shared" ref="G16:G23" si="4">IF(ISNUMBER(F16/B16),F16/B16," - ")</f>
        <v>993.5</v>
      </c>
      <c r="H16" s="451">
        <f>IF(ISNUMBER(Datos!O16),Datos!O16," - ")</f>
        <v>57</v>
      </c>
      <c r="I16" s="452">
        <f t="shared" ref="I16:I22" si="5">IF(ISNUMBER(H16/B16),H16/B16," - ")</f>
        <v>14.25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202</v>
      </c>
      <c r="E18" s="452">
        <f>IF(ISNUMBER(D18/B18),D18/B18," - ")</f>
        <v>202</v>
      </c>
      <c r="F18" s="451">
        <f>IF(ISNUMBER(Datos!N18),Datos!N18," - ")</f>
        <v>495</v>
      </c>
      <c r="G18" s="452">
        <f>IF(ISNUMBER(F18/B18),F18/B18," - ")</f>
        <v>495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2475</v>
      </c>
      <c r="E23" s="1147">
        <f t="shared" si="3"/>
        <v>495</v>
      </c>
      <c r="F23" s="1146">
        <f>SUBTOTAL(9,F16:F22)</f>
        <v>4469</v>
      </c>
      <c r="G23" s="1147">
        <f t="shared" si="4"/>
        <v>893.8</v>
      </c>
      <c r="H23" s="1146">
        <f>SUBTOTAL(9,H16:H22)</f>
        <v>57</v>
      </c>
      <c r="I23" s="1147">
        <f>IF(ISNUMBER(H23/B23),H23/B23," - ")</f>
        <v>11.4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8482</v>
      </c>
      <c r="E31" s="1085">
        <f>IF(ISNUMBER(D31/B31),D31/B31," - ")</f>
        <v>605.85714285714289</v>
      </c>
      <c r="F31" s="1084">
        <f>SUBTOTAL(9,F8:F30)</f>
        <v>8686</v>
      </c>
      <c r="G31" s="1085">
        <f>IF(ISNUMBER(F31/B31),F31/B31," - ")</f>
        <v>620.42857142857144</v>
      </c>
      <c r="H31" s="1084">
        <f>SUBTOTAL(9,H8:H30)</f>
        <v>4879</v>
      </c>
      <c r="I31" s="1085">
        <f>IF(ISNUMBER(H31/B31),H31/B31," - ")</f>
        <v>348.5</v>
      </c>
    </row>
    <row r="34" spans="1:1">
      <c r="A34" s="439" t="str">
        <f>Criterios!A4</f>
        <v>Fecha Informe: 15 abr. 2023</v>
      </c>
    </row>
    <row r="39" spans="1:1">
      <c r="A39" s="462"/>
    </row>
  </sheetData>
  <sheetProtection algorithmName="SHA-512" hashValue="/k5Ne74NI+krGceo2TwWCkmtUw+fk+5tc7q8kqydfMS1I9ey5+ouC3t93/LzUJkJz1EYx5KDf9wOBzAR1bDplQ==" saltValue="YVlKm0jKO/Xj7wjjea/t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ARABA-ALAVA</v>
      </c>
    </row>
    <row r="4" spans="1:4" ht="13.5" thickBot="1">
      <c r="B4" s="439" t="str">
        <f>Criterios!A11 &amp;"  "&amp;Criterios!B11</f>
        <v>Resumenes por Partidos Judiciales  VITORIA-GASTEIZ</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1876</v>
      </c>
      <c r="C9" s="489">
        <f>IF(ISNUMBER(Datos!Q9),Datos!Q9," - ")</f>
        <v>4705</v>
      </c>
      <c r="D9" s="456">
        <f>IF(ISNUMBER(Datos!R9),Datos!R9," - ")</f>
        <v>5971</v>
      </c>
    </row>
    <row r="10" spans="1:4">
      <c r="A10" s="450" t="str">
        <f>Datos!A10</f>
        <v>Jdos. Violencia contra la mujer</v>
      </c>
      <c r="B10" s="488">
        <f>IF(ISNUMBER(Datos!P10),Datos!P10," - ")</f>
        <v>36</v>
      </c>
      <c r="C10" s="489">
        <f>IF(ISNUMBER(Datos!Q10),Datos!Q10," - ")</f>
        <v>66</v>
      </c>
      <c r="D10" s="456">
        <f>IF(ISNUMBER(Datos!R10),Datos!R10," - ")</f>
        <v>123</v>
      </c>
    </row>
    <row r="11" spans="1:4">
      <c r="A11" s="450" t="str">
        <f>Datos!A11</f>
        <v xml:space="preserve">Jdos. Familia                                   </v>
      </c>
      <c r="B11" s="488">
        <f>IF(ISNUMBER(Datos!P11),Datos!P11," - ")</f>
        <v>469</v>
      </c>
      <c r="C11" s="489">
        <f>IF(ISNUMBER(Datos!Q11),Datos!Q11," - ")</f>
        <v>1038</v>
      </c>
      <c r="D11" s="456">
        <f>IF(ISNUMBER(Datos!R11),Datos!R11," - ")</f>
        <v>1164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2381</v>
      </c>
      <c r="C14" s="1150">
        <f>SUBTOTAL(9,C9:C13)</f>
        <v>5809</v>
      </c>
      <c r="D14" s="1148">
        <f>SUBTOTAL(9,D9:D13)</f>
        <v>7258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1068</v>
      </c>
      <c r="C16" s="489">
        <f>IF(ISNUMBER(Datos!Q16),Datos!Q16," - ")</f>
        <v>993</v>
      </c>
      <c r="D16" s="456">
        <f>IF(ISNUMBER(Datos!R16),Datos!R16," - ")</f>
        <v>714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8</v>
      </c>
      <c r="C18" s="489">
        <f>IF(ISNUMBER(Datos!Q18),Datos!Q18," - ")</f>
        <v>6</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1076</v>
      </c>
      <c r="C23" s="1150">
        <f>SUBTOTAL(9,C16:C22)</f>
        <v>999</v>
      </c>
      <c r="D23" s="1148">
        <f>SUBTOTAL(9,D16:D22)</f>
        <v>718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3457</v>
      </c>
      <c r="C31" s="1089">
        <f>SUBTOTAL(9,C8:C30)</f>
        <v>6808</v>
      </c>
      <c r="D31" s="1090">
        <f>SUBTOTAL(9,D8:D30)</f>
        <v>7976</v>
      </c>
    </row>
    <row r="32" spans="1:4" ht="7.5" customHeight="1"/>
    <row r="33" spans="1:1" ht="6" customHeight="1"/>
    <row r="34" spans="1:1">
      <c r="A34" s="439" t="str">
        <f>Criterios!A4</f>
        <v>Fecha Informe: 15 abr. 2023</v>
      </c>
    </row>
    <row r="39" spans="1:1">
      <c r="A39" s="462"/>
    </row>
  </sheetData>
  <sheetProtection algorithmName="SHA-512" hashValue="d5OBwT//XRzwrYM/hiPbToUc9y6O9teXuGnx0BuuyMu/nJdXsQOC6S/42snWZT3clfO/AHeApcMVEqRlUR27PQ==" saltValue="/sB36BTk21bSpplDxv7Z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ARABA-ALAVA</v>
      </c>
    </row>
    <row r="4" spans="1:11" ht="10.5" customHeight="1" thickBot="1">
      <c r="B4" s="439" t="str">
        <f>Criterios!A11 &amp;"  "&amp;Criterios!B11</f>
        <v>Resumenes por Partidos Judiciales  VITORIA-GASTEIZ</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8.3211143695014658E-2</v>
      </c>
      <c r="C9" s="515">
        <f>IF(ISNUMBER(
   IF(J_V="SI",(Datos!J9-Datos!T9)/Datos!T9,(Datos!J9+Datos!Z9-(Datos!T9+Datos!AH9))/(Datos!T9+Datos!AH9))
     ),IF(J_V="SI",(Datos!J9-Datos!T9)/Datos!T9,(Datos!J9+Datos!Z9-(Datos!T9+Datos!AH9))/(Datos!T9+Datos!AH9))," - ")</f>
        <v>5.1393987498759799E-2</v>
      </c>
      <c r="D9" s="515">
        <f>IF(ISNUMBER(
   IF(J_V="SI",(Datos!K9-Datos!U9)/Datos!U9,(Datos!K9+Datos!AA9-(Datos!U9+Datos!AI9))/(Datos!U9+Datos!AI9))
     ),IF(J_V="SI",(Datos!K9-Datos!U9)/Datos!U9,(Datos!K9+Datos!AA9-(Datos!U9+Datos!AI9))/(Datos!U9+Datos!AI9))," - ")</f>
        <v>-1.0762513960808203E-2</v>
      </c>
      <c r="E9" s="515">
        <f>IF(ISNUMBER(
   IF(J_V="SI",(Datos!L9-Datos!V9)/Datos!V9,(Datos!L9+Datos!AB9-(Datos!V9+Datos!AJ9))/(Datos!V9+Datos!AJ9))
     ),IF(J_V="SI",(Datos!L9-Datos!V9)/Datos!V9,(Datos!L9+Datos!AB9-(Datos!V9+Datos!AJ9))/(Datos!V9+Datos!AJ9))," - ")</f>
        <v>0.28832487309644672</v>
      </c>
      <c r="F9" s="515">
        <f>IF(ISNUMBER((Datos!M9-Datos!W9)/Datos!W9),(Datos!M9-Datos!W9)/Datos!W9," - ")</f>
        <v>9.6625766871165641E-2</v>
      </c>
      <c r="G9" s="516">
        <f>IF(ISNUMBER((Datos!N9-Datos!X9)/Datos!X9),(Datos!N9-Datos!X9)/Datos!X9," - ")</f>
        <v>-0.125</v>
      </c>
      <c r="H9" s="514">
        <f>IF(ISNUMBER(((NºAsuntos!G9/NºAsuntos!E9)-Datos!BD9)/Datos!BD9),((NºAsuntos!G9/NºAsuntos!E9)-Datos!BD9)/Datos!BD9," - ")</f>
        <v>-5.9118182335659714E-2</v>
      </c>
      <c r="I9" s="515">
        <f>IF(ISNUMBER(((NºAsuntos!I9/NºAsuntos!G9)-Datos!BE9)/Datos!BE9),((NºAsuntos!I9/NºAsuntos!G9)-Datos!BE9)/Datos!BE9," - ")</f>
        <v>0.30234133994938966</v>
      </c>
      <c r="J9" s="521">
        <f>IF(ISNUMBER((('Resol  Asuntos'!D9/NºAsuntos!G9)-Datos!BF9)/Datos!BF9),(('Resol  Asuntos'!D9/NºAsuntos!G9)-Datos!BF9)/Datos!BF9," - ")</f>
        <v>1.4608231650699233</v>
      </c>
      <c r="K9" s="522">
        <f>IF(ISNUMBER((((NºAsuntos!C9+NºAsuntos!E9)/NºAsuntos!G9)-Datos!BG9)/Datos!BG9),(((NºAsuntos!C9+NºAsuntos!E9)/NºAsuntos!G9)-Datos!BG9)/Datos!BG9," - ")</f>
        <v>6.9683799388005757E-2</v>
      </c>
    </row>
    <row r="10" spans="1:11">
      <c r="A10" s="450" t="str">
        <f>Datos!A10</f>
        <v>Jdos. Violencia contra la mujer</v>
      </c>
      <c r="B10" s="514">
        <f>IF(ISNUMBER((Datos!I10-Datos!S10)/Datos!S10),(Datos!I10-Datos!S10)/Datos!S10," - ")</f>
        <v>-0.21590909090909091</v>
      </c>
      <c r="C10" s="515">
        <f>IF(ISNUMBER((Datos!J10-Datos!T10)/Datos!T10),(Datos!J10-Datos!T10)/Datos!T10," - ")</f>
        <v>-0.20091324200913241</v>
      </c>
      <c r="D10" s="515">
        <f>IF(ISNUMBER((Datos!K10-Datos!U10)/Datos!U10),(Datos!K10-Datos!U10)/Datos!U10," - ")</f>
        <v>-0.34241245136186771</v>
      </c>
      <c r="E10" s="515">
        <f>IF(ISNUMBER((Datos!L10-Datos!V10)/Datos!V10),(Datos!L10-Datos!V10)/Datos!V10," - ")</f>
        <v>4.3478260869565216E-2</v>
      </c>
      <c r="F10" s="515">
        <f>IF(ISNUMBER((Datos!M10-Datos!W10)/Datos!W10),(Datos!M10-Datos!W10)/Datos!W10," - ")</f>
        <v>-0.17894736842105263</v>
      </c>
      <c r="G10" s="516">
        <f>IF(ISNUMBER((Datos!N10-Datos!X10)/Datos!X10),(Datos!N10-Datos!X10)/Datos!X10," - ")</f>
        <v>-0.13592233009708737</v>
      </c>
      <c r="H10" s="514">
        <f>IF(ISNUMBER(((NºAsuntos!G10/NºAsuntos!E10)-Datos!BD10)/Datos!BD10),((NºAsuntos!G10/NºAsuntos!E10)-Datos!BD10)/Datos!BD10," - ")</f>
        <v>-0.17707615341856592</v>
      </c>
      <c r="I10" s="515">
        <f>IF(ISNUMBER(((NºAsuntos!I10/NºAsuntos!G10)-Datos!BE10)/Datos!BE10),((NºAsuntos!I10/NºAsuntos!G10)-Datos!BE10)/Datos!BE10," - ")</f>
        <v>0.58682788783123241</v>
      </c>
      <c r="J10" s="521">
        <f>IF(ISNUMBER((('Resol  Asuntos'!D10/NºAsuntos!G10)-Datos!BF10)/Datos!BF10),(('Resol  Asuntos'!D10/NºAsuntos!G10)-Datos!BF10)/Datos!BF10," - ")</f>
        <v>0.248582995951417</v>
      </c>
      <c r="K10" s="522">
        <f>IF(ISNUMBER((((NºAsuntos!C10+NºAsuntos!E10)/NºAsuntos!G10)-Datos!BG10)/Datos!BG10),(((NºAsuntos!C10+NºAsuntos!E10)/NºAsuntos!G10)-Datos!BG10)/Datos!BG10," - ")</f>
        <v>0.2050183506853418</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-9.8294069861900896E-2</v>
      </c>
      <c r="C11" s="515">
        <f>IF(ISNUMBER(
   IF(J_V="SI",(Datos!J11-Datos!T11)/Datos!T11,(Datos!J11+Datos!Z11-(Datos!T11+Datos!AH11))/(Datos!T11+Datos!AH11))
     ),IF(J_V="SI",(Datos!J11-Datos!T11)/Datos!T11,(Datos!J11+Datos!Z11-(Datos!T11+Datos!AH11))/(Datos!T11+Datos!AH11))," - ")</f>
        <v>-3.7812840043525572E-2</v>
      </c>
      <c r="D11" s="515">
        <f>IF(ISNUMBER(
   IF(J_V="SI",(Datos!K11-Datos!U11)/Datos!U11,(Datos!K11+Datos!AA11-(Datos!U11+Datos!AI11))/(Datos!U11+Datos!AI11))
     ),IF(J_V="SI",(Datos!K11-Datos!U11)/Datos!U11,(Datos!K11+Datos!AA11-(Datos!U11+Datos!AI11))/(Datos!U11+Datos!AI11))," - ")</f>
        <v>-4.5883940620782729E-2</v>
      </c>
      <c r="E11" s="515">
        <f>IF(ISNUMBER(
   IF(J_V="SI",(Datos!L11-Datos!V11)/Datos!V11,(Datos!L11+Datos!AB11-(Datos!V11+Datos!AJ11))/(Datos!V11+Datos!AJ11))
     ),IF(J_V="SI",(Datos!L11-Datos!V11)/Datos!V11,(Datos!L11+Datos!AB11-(Datos!V11+Datos!AJ11))/(Datos!V11+Datos!AJ11))," - ")</f>
        <v>-2.1621621621621623E-2</v>
      </c>
      <c r="F11" s="515">
        <f>IF(ISNUMBER((Datos!M11-Datos!W11)/Datos!W11),(Datos!M11-Datos!W11)/Datos!W11," - ")</f>
        <v>-0.11494252873563218</v>
      </c>
      <c r="G11" s="516">
        <f>IF(ISNUMBER((Datos!N11-Datos!X11)/Datos!X11),(Datos!N11-Datos!X11)/Datos!X11," - ")</f>
        <v>0.33237986270022885</v>
      </c>
      <c r="H11" s="514">
        <f>IF(ISNUMBER(((NºAsuntos!G11/NºAsuntos!E11)-Datos!BD11)/Datos!BD11),((NºAsuntos!G11/NºAsuntos!E11)-Datos!BD11)/Datos!BD11," - ")</f>
        <v>-8.3882854741299008E-3</v>
      </c>
      <c r="I11" s="515">
        <f>IF(ISNUMBER(((NºAsuntos!I11/NºAsuntos!G11)-Datos!BE11)/Datos!BE11),((NºAsuntos!I11/NºAsuntos!G11)-Datos!BE11)/Datos!BE11," - ")</f>
        <v>2.5429106617225531E-2</v>
      </c>
      <c r="J11" s="521">
        <f>IF(ISNUMBER((('Resol  Asuntos'!D11/NºAsuntos!G11)-Datos!BF11)/Datos!BF11),(('Resol  Asuntos'!D11/NºAsuntos!G11)-Datos!BF11)/Datos!BF11," - ")</f>
        <v>-0.44597503228583724</v>
      </c>
      <c r="K11" s="522">
        <f>IF(ISNUMBER((((NºAsuntos!C11+NºAsuntos!E11)/NºAsuntos!G11)-Datos!BG11)/Datos!BG11),(((NºAsuntos!C11+NºAsuntos!E11)/NºAsuntos!G11)-Datos!BG11)/Datos!BG11," - ")</f>
        <v>-7.4431094453007432E-3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1.6444981862152357E-2</v>
      </c>
      <c r="C14" s="1152">
        <f>IF(ISNUMBER(
   IF(J_V="SI",(Datos!J14-Datos!T14)/Datos!T14,(Datos!J14+Datos!Z14-(Datos!T14+Datos!AH14))/(Datos!T14+Datos!AH14))
     ),IF(J_V="SI",(Datos!J14-Datos!T14)/Datos!T14,(Datos!J14+Datos!Z14-(Datos!T14+Datos!AH14))/(Datos!T14+Datos!AH14))," - ")</f>
        <v>2.3973092886789751E-2</v>
      </c>
      <c r="D14" s="1152">
        <f>IF(ISNUMBER(
   IF(J_V="SI",(Datos!K14-Datos!U14)/Datos!U14,(Datos!K14+Datos!AA14-(Datos!U14+Datos!AI14))/(Datos!U14+Datos!AI14))
     ),IF(J_V="SI",(Datos!K14-Datos!U14)/Datos!U14,(Datos!K14+Datos!AA14-(Datos!U14+Datos!AI14))/(Datos!U14+Datos!AI14))," - ")</f>
        <v>-2.6355803345159655E-2</v>
      </c>
      <c r="E14" s="1152">
        <f>IF(ISNUMBER(
   IF(J_V="SI",(Datos!L14-Datos!V14)/Datos!V14,(Datos!L14+Datos!AB14-(Datos!V14+Datos!AJ14))/(Datos!V14+Datos!AJ14))
     ),IF(J_V="SI",(Datos!L14-Datos!V14)/Datos!V14,(Datos!L14+Datos!AB14-(Datos!V14+Datos!AJ14))/(Datos!V14+Datos!AJ14))," - ")</f>
        <v>0.19842969307637401</v>
      </c>
      <c r="F14" s="1153">
        <f>IF(ISNUMBER((Datos!M14-Datos!W14)/Datos!W14),(Datos!M14-Datos!W14)/Datos!W14," - ")</f>
        <v>5.3305277923899705E-2</v>
      </c>
      <c r="G14" s="1154">
        <f>IF(ISNUMBER((Datos!N14-Datos!X14)/Datos!X14),(Datos!N14-Datos!X14)/Datos!X14," - ")</f>
        <v>7.9344765804965453E-2</v>
      </c>
      <c r="H14" s="1154">
        <f>IF(ISNUMBER(((NºAsuntos!G14/NºAsuntos!E14)-Datos!BD14)/Datos!BD14),((NºAsuntos!G14/NºAsuntos!E14)-Datos!BD14)/Datos!BD14," - ")</f>
        <v>-4.9150604231271287E-2</v>
      </c>
      <c r="I14" s="1154">
        <f>IF(ISNUMBER(((NºAsuntos!I14/NºAsuntos!G14)-Datos!BE14)/Datos!BE14),((NºAsuntos!I14/NºAsuntos!G14)-Datos!BE14)/Datos!BE14," - ")</f>
        <v>0.23087026779785824</v>
      </c>
      <c r="J14" s="1154">
        <f>IF(ISNUMBER((('Resol  Asuntos'!D14/NºAsuntos!G14)-Datos!BF14)/Datos!BF14),(('Resol  Asuntos'!D14/NºAsuntos!G14)-Datos!BF14)/Datos!BF14," - ")</f>
        <v>0.58235570486913257</v>
      </c>
      <c r="K14" s="1154">
        <f>IF(ISNUMBER((((NºAsuntos!C14+NºAsuntos!E14)/NºAsuntos!G14)-Datos!BG14)/Datos!BG14),(((NºAsuntos!C14+NºAsuntos!E14)/NºAsuntos!G14)-Datos!BG14)/Datos!BG14," - ")</f>
        <v>4.9925764764926675E-2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2.6605853287723299E-2</v>
      </c>
      <c r="C16" s="515">
        <f>IF(ISNUMBER(
   IF(D_I="SI",(Datos!J16-Datos!T16)/Datos!T16,(Datos!J16+Datos!AD16-(Datos!T16+Datos!AL16))/(Datos!T16+Datos!AL16))
     ),IF(D_I="SI",(Datos!J16-Datos!T16)/Datos!T16,(Datos!J16+Datos!AD16-(Datos!T16+Datos!AL16))/(Datos!T16+Datos!AL16))," - ")</f>
        <v>3.8383355255291164E-2</v>
      </c>
      <c r="D16" s="515">
        <f>IF(ISNUMBER(
   IF(D_I="SI",(Datos!K16-Datos!U16)/Datos!U16,(Datos!K16+Datos!AE16-(Datos!U16+Datos!AM16))/(Datos!U16+Datos!AM16))
     ),IF(D_I="SI",(Datos!K16-Datos!U16)/Datos!U16,(Datos!K16+Datos!AE16-(Datos!U16+Datos!AM16))/(Datos!U16+Datos!AM16))," - ")</f>
        <v>1.6097048874373032E-2</v>
      </c>
      <c r="E16" s="515">
        <f>IF(ISNUMBER(
   IF(D_I="SI",(Datos!L16-Datos!V16)/Datos!V16,(Datos!L16+Datos!AF16-(Datos!V16+Datos!AN16))/(Datos!V16+Datos!AN16))
     ),IF(D_I="SI",(Datos!L16-Datos!V16)/Datos!V16,(Datos!L16+Datos!AF16-(Datos!V16+Datos!AN16))/(Datos!V16+Datos!AN16))," - ")</f>
        <v>7.4416882636060722E-2</v>
      </c>
      <c r="F16" s="515">
        <f>IF(ISNUMBER((Datos!M16-Datos!W16)/Datos!W16),(Datos!M16-Datos!W16)/Datos!W16," - ")</f>
        <v>-4.7359597652975691E-2</v>
      </c>
      <c r="G16" s="516">
        <f>IF(ISNUMBER((Datos!N16-Datos!X16)/Datos!X16),(Datos!N16-Datos!X16)/Datos!X16," - ")</f>
        <v>6.6559312936124534E-2</v>
      </c>
      <c r="H16" s="514">
        <f>IF(ISNUMBER(((NºAsuntos!G16/NºAsuntos!E16)-Datos!BD16)/Datos!BD16),((NºAsuntos!G16/NºAsuntos!E16)-Datos!BD16)/Datos!BD16," - ")</f>
        <v>-2.1462503484986014E-2</v>
      </c>
      <c r="I16" s="515">
        <f>IF(ISNUMBER(((NºAsuntos!I16/NºAsuntos!G16)-Datos!BE16)/Datos!BE16),((NºAsuntos!I16/NºAsuntos!G16)-Datos!BE16)/Datos!BE16," - ")</f>
        <v>5.7395928692337075E-2</v>
      </c>
      <c r="J16" s="521">
        <f>IF(ISNUMBER((('Resol  Asuntos'!D16/NºAsuntos!G16)-Datos!BF16)/Datos!BF16),(('Resol  Asuntos'!D16/NºAsuntos!G16)-Datos!BF16)/Datos!BF16," - ")</f>
        <v>-6.2451363870848584E-2</v>
      </c>
      <c r="K16" s="522">
        <f>IF(ISNUMBER((((NºAsuntos!C16+NºAsuntos!E16)/NºAsuntos!G16)-Datos!BG16)/Datos!BG16),(((NºAsuntos!C16+NºAsuntos!E16)/NºAsuntos!G16)-Datos!BG16)/Datos!BG16," - ")</f>
        <v>1.9159394964957919E-2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-0.2371392722710163</v>
      </c>
      <c r="C18" s="515">
        <f>IF(ISNUMBER(
   IF(D_I="SI",(Datos!J18-Datos!T18)/Datos!T18,(Datos!J18+Datos!AD18-(Datos!T18+Datos!AL18))/(Datos!T18+Datos!AL18))
     ),IF(D_I="SI",(Datos!J18-Datos!T18)/Datos!T18,(Datos!J18+Datos!AD18-(Datos!T18+Datos!AL18))/(Datos!T18+Datos!AL18))," - ")</f>
        <v>0.30987124463519311</v>
      </c>
      <c r="D18" s="515">
        <f>IF(ISNUMBER(
   IF(D_I="SI",(Datos!K18-Datos!U18)/Datos!U18,(Datos!K18+Datos!AE18-(Datos!U18+Datos!AM18))/(Datos!U18+Datos!AM18))
     ),IF(D_I="SI",(Datos!K18-Datos!U18)/Datos!U18,(Datos!K18+Datos!AE18-(Datos!U18+Datos!AM18))/(Datos!U18+Datos!AM18))," - ")</f>
        <v>8.5611510791366904E-2</v>
      </c>
      <c r="E18" s="515">
        <f>IF(ISNUMBER(
   IF(D_I="SI",(Datos!L18-Datos!V18)/Datos!V18,(Datos!L18+Datos!AF18-(Datos!V18+Datos!AN18))/(Datos!V18+Datos!AN18))
     ),IF(D_I="SI",(Datos!L18-Datos!V18)/Datos!V18,(Datos!L18+Datos!AF18-(Datos!V18+Datos!AN18))/(Datos!V18+Datos!AN18))," - ")</f>
        <v>9.375E-2</v>
      </c>
      <c r="F18" s="515">
        <f>IF(ISNUMBER((Datos!M18-Datos!W18)/Datos!W18),(Datos!M18-Datos!W18)/Datos!W18," - ")</f>
        <v>0.2392638036809816</v>
      </c>
      <c r="G18" s="516">
        <f>IF(ISNUMBER((Datos!N18-Datos!X18)/Datos!X18),(Datos!N18-Datos!X18)/Datos!X18," - ")</f>
        <v>-0.27419354838709675</v>
      </c>
      <c r="H18" s="514">
        <f>IF(ISNUMBER(((NºAsuntos!G18/NºAsuntos!E18)-Datos!BD18)/Datos!BD18),((NºAsuntos!G18/NºAsuntos!E18)-Datos!BD18)/Datos!BD18," - ")</f>
        <v>-0.17120746391091574</v>
      </c>
      <c r="I18" s="515">
        <f>IF(ISNUMBER(((NºAsuntos!I18/NºAsuntos!G18)-Datos!BE18)/Datos!BE18),((NºAsuntos!I18/NºAsuntos!G18)-Datos!BE18)/Datos!BE18," - ")</f>
        <v>7.4966865473824681E-3</v>
      </c>
      <c r="J18" s="521">
        <f>IF(ISNUMBER((('Resol  Asuntos'!D18/NºAsuntos!G18)-Datos!BF18)/Datos!BF18),(('Resol  Asuntos'!D18/NºAsuntos!G18)-Datos!BF18)/Datos!BF18," - ")</f>
        <v>0.14153524659812081</v>
      </c>
      <c r="K18" s="522">
        <f>IF(ISNUMBER((((NºAsuntos!C18+NºAsuntos!E18)/NºAsuntos!G18)-Datos!BG18)/Datos!BG18),(((NºAsuntos!C18+NºAsuntos!E18)/NºAsuntos!G18)-Datos!BG18)/Datos!BG18," - ")</f>
        <v>1.892146948414883E-3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-3.4714119019836641E-2</v>
      </c>
      <c r="C23" s="1152">
        <f>IF(ISNUMBER(
   IF(Criterios!B14="SI",(Datos!J23-Datos!T23)/Datos!T23,(Datos!J23+Datos!AD23-(Datos!T23+Datos!AL23))/(Datos!T23+Datos!AL23))
     ),IF(Criterios!B14="SI",(Datos!J23-Datos!T23)/Datos!T23,(Datos!J23+Datos!AD23-(Datos!T23+Datos!AL23))/(Datos!T23+Datos!AL23))," - ")</f>
        <v>7.1578505457598654E-2</v>
      </c>
      <c r="D23" s="1152">
        <f>IF(ISNUMBER(
   IF(Criterios!B14="SI",(Datos!K23-Datos!U23)/Datos!U23,(Datos!K23+Datos!AE23-(Datos!U23+Datos!AM23))/(Datos!U23+Datos!AM23))
     ),IF(Criterios!B14="SI",(Datos!K23-Datos!U23)/Datos!U23,(Datos!K23+Datos!AE23-(Datos!U23+Datos!AM23))/(Datos!U23+Datos!AM23))," - ")</f>
        <v>2.579544313961658E-2</v>
      </c>
      <c r="E23" s="1152">
        <f>IF(ISNUMBER(
   IF(Criterios!B14="SI",(Datos!L23-Datos!V23)/Datos!V23,(Datos!L23+Datos!AF23-(Datos!V23+Datos!AN23))/(Datos!V23+Datos!AN23))
     ),IF(Criterios!B14="SI",(Datos!L23-Datos!V23)/Datos!V23,(Datos!L23+Datos!AF23-(Datos!V23+Datos!AN23))/(Datos!V23+Datos!AN23))," - ")</f>
        <v>7.7969174977334549E-2</v>
      </c>
      <c r="F23" s="1153">
        <f>IF(ISNUMBER((Datos!M23-Datos!W23)/Datos!W23),(Datos!M23-Datos!W23)/Datos!W23," - ")</f>
        <v>-2.9030992546096507E-2</v>
      </c>
      <c r="G23" s="1154">
        <f>IF(ISNUMBER((Datos!N23-Datos!X23)/Datos!X23),(Datos!N23-Datos!X23)/Datos!X23," - ")</f>
        <v>1.3838475499092558E-2</v>
      </c>
      <c r="H23" s="1154">
        <f>IF(ISNUMBER(((NºAsuntos!G23/NºAsuntos!E23)-Datos!BD23)/Datos!BD23),((NºAsuntos!G23/NºAsuntos!E23)-Datos!BD23)/Datos!BD23," - ")</f>
        <v>-4.2724879311041505E-2</v>
      </c>
      <c r="I23" s="1154">
        <f>IF(ISNUMBER(((NºAsuntos!I23/NºAsuntos!G23)-Datos!BE23)/Datos!BE23),((NºAsuntos!I23/NºAsuntos!G23)-Datos!BE23)/Datos!BE23," - ")</f>
        <v>5.0861730949039494E-2</v>
      </c>
      <c r="J23" s="1154">
        <f>IF(ISNUMBER((('Resol  Asuntos'!D23/NºAsuntos!G23)-Datos!BF23)/Datos!BF23),(('Resol  Asuntos'!D23/NºAsuntos!G23)-Datos!BF23)/Datos!BF23," - ")</f>
        <v>-5.3447727860739633E-2</v>
      </c>
      <c r="K23" s="1154">
        <f>IF(ISNUMBER((((NºAsuntos!C23+NºAsuntos!E23)/NºAsuntos!G23)-Datos!BG23)/Datos!BG23),(((NºAsuntos!C23+NºAsuntos!E23)/NºAsuntos!G23)-Datos!BG23)/Datos!BG23," - ")</f>
        <v>1.7215251802125346E-2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-6.7433558111860371E-3</v>
      </c>
      <c r="C31" s="1092">
        <f>IF(ISNUMBER(
   IF(J_V="SI",(Datos!J31-Datos!T31)/Datos!T31,(Datos!J31+Datos!Z31-(Datos!T31+Datos!AH31))/(Datos!T31+Datos!AH31))
     ),IF(J_V="SI",(Datos!J31-Datos!T31)/Datos!T31,(Datos!J31+Datos!Z31-(Datos!T31+Datos!AH31))/(Datos!T31+Datos!AH31))," - ")</f>
        <v>4.3272912943579267E-2</v>
      </c>
      <c r="D31" s="1092">
        <f>IF(ISNUMBER(
   IF(J_V="SI",(Datos!K31-Datos!U31)/Datos!U31,(Datos!K31+Datos!AA31-(Datos!U31+Datos!AI31))/(Datos!U31+Datos!AI31))
     ),IF(J_V="SI",(Datos!K31-Datos!U31)/Datos!U31,(Datos!K31+Datos!AA31-(Datos!U31+Datos!AI31))/(Datos!U31+Datos!AI31))," - ")</f>
        <v>-4.5007150668797844E-3</v>
      </c>
      <c r="E31" s="1092">
        <f>IF(ISNUMBER(
   IF(J_V="SI",(Datos!L31-Datos!V31)/Datos!V31,(Datos!L31+Datos!AB31-(Datos!V31+Datos!AJ31))/(Datos!V31+Datos!AJ31))
     ),IF(J_V="SI",(Datos!L31-Datos!V31)/Datos!V31,(Datos!L31+Datos!AB31-(Datos!V31+Datos!AJ31))/(Datos!V31+Datos!AJ31))," - ")</f>
        <v>0.14536741214057508</v>
      </c>
      <c r="F31" s="1093">
        <f>IF(ISNUMBER((Datos!M31-Datos!W31)/Datos!W31),(Datos!M31-Datos!W31)/Datos!W31," - ")</f>
        <v>2.7872031022782354E-2</v>
      </c>
      <c r="G31" s="1094">
        <f>IF(ISNUMBER((Datos!N31-Datos!X31)/Datos!X31),(Datos!N31-Datos!X31)/Datos!X31," - ")</f>
        <v>4.4618159951894165E-2</v>
      </c>
      <c r="H31" s="1095">
        <f>IF(ISNUMBER((Tasas!B31-Datos!BD31)/Datos!BD31),(Tasas!B31-Datos!BD31)/Datos!BD31," - ")</f>
        <v>-4.5792071679179848E-2</v>
      </c>
      <c r="I31" s="1096">
        <f>IF(ISNUMBER((Tasas!C31-Datos!BE31)/Datos!BE31),(Tasas!C31-Datos!BE31)/Datos!BE31," - ")</f>
        <v>0.15054569046478342</v>
      </c>
      <c r="J31" s="1097">
        <f>IF(ISNUMBER((Tasas!D31-Datos!BF31)/Datos!BF31),(Tasas!D31-Datos!BF31)/Datos!BF31," - ")</f>
        <v>0.32139386741241494</v>
      </c>
      <c r="K31" s="1097">
        <f>IF(ISNUMBER((Tasas!E31-Datos!BG31)/Datos!BG31),(Tasas!E31-Datos!BG31)/Datos!BG31," - ")</f>
        <v>3.5757739308913176E-2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ZsJPG6pSvPEj3X/aiO4OOmuvj3ia8duJfhFRzG084wB0Nu15Wig1BldDhlXZWoQ7nwa3v4DWRqWdySvdM49cg==" saltValue="aodPmPipqS0UaG9IrSAkU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ARABA-ALAVA</v>
      </c>
    </row>
    <row r="4" spans="1:7" ht="11.25" customHeight="1" thickBot="1">
      <c r="B4" s="439" t="str">
        <f>Criterios!A11 &amp;"  "&amp;Criterios!B11</f>
        <v>Resumenes por Partidos Judiciales  VITORIA-GASTEIZ</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0.91941115410021701</v>
      </c>
      <c r="C9" s="498">
        <f>IF(ISNUMBER(NºAsuntos!I9/NºAsuntos!G9),NºAsuntos!I9/NºAsuntos!G9," - ")</f>
        <v>0.3907420712306271</v>
      </c>
      <c r="D9" s="499">
        <f>IF(ISNUMBER('Resol  Asuntos'!D9/NºAsuntos!G9),'Resol  Asuntos'!D9/NºAsuntos!G9," - ")</f>
        <v>0.51370214512983681</v>
      </c>
      <c r="E9" s="500">
        <f>IF(ISNUMBER((NºAsuntos!C9+NºAsuntos!E9)/NºAsuntos!G9),(NºAsuntos!C9+NºAsuntos!E9)/NºAsuntos!G9," - ")</f>
        <v>1.3909473468130966</v>
      </c>
      <c r="G9" s="523"/>
    </row>
    <row r="10" spans="1:7">
      <c r="A10" s="450" t="str">
        <f>Datos!A10</f>
        <v>Jdos. Violencia contra la mujer</v>
      </c>
      <c r="B10" s="497">
        <f>IF(ISNUMBER(NºAsuntos!G10/NºAsuntos!E10),NºAsuntos!G10/NºAsuntos!E10," - ")</f>
        <v>0.96571428571428575</v>
      </c>
      <c r="C10" s="498">
        <f>IF(ISNUMBER(NºAsuntos!I10/NºAsuntos!G10),NºAsuntos!I10/NºAsuntos!G10," - ")</f>
        <v>0.85207100591715978</v>
      </c>
      <c r="D10" s="499">
        <f>IF(ISNUMBER('Resol  Asuntos'!D10/NºAsuntos!G10),'Resol  Asuntos'!D10/NºAsuntos!G10," - ")</f>
        <v>0.46153846153846156</v>
      </c>
      <c r="E10" s="500">
        <f>IF(ISNUMBER((NºAsuntos!C10+NºAsuntos!E10)/NºAsuntos!G10),(NºAsuntos!C10+NºAsuntos!E10)/NºAsuntos!G10," - ")</f>
        <v>1.8520710059171597</v>
      </c>
      <c r="G10" s="523"/>
    </row>
    <row r="11" spans="1:7">
      <c r="A11" s="450" t="str">
        <f>Datos!A11</f>
        <v xml:space="preserve">Jdos. Familia                                   </v>
      </c>
      <c r="B11" s="497">
        <f>IF(ISNUMBER(NºAsuntos!G11/NºAsuntos!E11),NºAsuntos!G11/NºAsuntos!E11," - ")</f>
        <v>0.99943454905286966</v>
      </c>
      <c r="C11" s="498">
        <f>IF(ISNUMBER(NºAsuntos!I11/NºAsuntos!G11),NºAsuntos!I11/NºAsuntos!G11," - ")</f>
        <v>0.30721357850070724</v>
      </c>
      <c r="D11" s="499">
        <f>IF(ISNUMBER('Resol  Asuntos'!D11/NºAsuntos!G11),'Resol  Asuntos'!D11/NºAsuntos!G11," - ")</f>
        <v>0.2613861386138614</v>
      </c>
      <c r="E11" s="500">
        <f>IF(ISNUMBER((NºAsuntos!C11+NºAsuntos!E11)/NºAsuntos!G11),(NºAsuntos!C11+NºAsuntos!E11)/NºAsuntos!G11," - ")</f>
        <v>1.3145685997171146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0.939758194143546</v>
      </c>
      <c r="C14" s="1156">
        <f>IF(ISNUMBER(NºAsuntos!I14/NºAsuntos!G14),NºAsuntos!I14/NºAsuntos!G14," - ")</f>
        <v>0.37458169108351302</v>
      </c>
      <c r="D14" s="1157">
        <f>IF(ISNUMBER('Resol  Asuntos'!D14/NºAsuntos!G14),'Resol  Asuntos'!D14/NºAsuntos!G14," - ")</f>
        <v>0.44671673979326243</v>
      </c>
      <c r="E14" s="1158">
        <f>IF(ISNUMBER((NºAsuntos!C14+NºAsuntos!E14)/NºAsuntos!G14),(NºAsuntos!C14+NºAsuntos!E14)/NºAsuntos!G14," - ")</f>
        <v>1.376663939912248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1.0031091662828189</v>
      </c>
      <c r="C16" s="498">
        <f>IF(ISNUMBER(NºAsuntos!I16/NºAsuntos!G16),NºAsuntos!I16/NºAsuntos!G16," - ")</f>
        <v>0.33314200436230051</v>
      </c>
      <c r="D16" s="499">
        <f>IF(ISNUMBER('Resol  Asuntos'!D16/NºAsuntos!G16),'Resol  Asuntos'!D16/NºAsuntos!G16," - ")</f>
        <v>0.26093445069452414</v>
      </c>
      <c r="E16" s="500">
        <f>IF(ISNUMBER((NºAsuntos!C16+NºAsuntos!E16)/NºAsuntos!G16),(NºAsuntos!C16+NºAsuntos!E16)/NºAsuntos!G16," - ")</f>
        <v>1.3069682011250143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0.98885976408912191</v>
      </c>
      <c r="C18" s="498">
        <f>IF(ISNUMBER(NºAsuntos!I18/NºAsuntos!G18),NºAsuntos!I18/NºAsuntos!G18," - ")</f>
        <v>0.44068919814446655</v>
      </c>
      <c r="D18" s="499">
        <f>IF(ISNUMBER('Resol  Asuntos'!D18/NºAsuntos!G18),'Resol  Asuntos'!D18/NºAsuntos!G18," - ")</f>
        <v>0.13386348575215373</v>
      </c>
      <c r="E18" s="500">
        <f>IF(ISNUMBER((NºAsuntos!C18+NºAsuntos!E18)/NºAsuntos!G18),(NºAsuntos!C18+NºAsuntos!E18)/NºAsuntos!G18," - ")</f>
        <v>1.4141815772034461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1.0009794319294809</v>
      </c>
      <c r="C23" s="1156">
        <f>IF(ISNUMBER(NºAsuntos!I23/NºAsuntos!G23),NºAsuntos!I23/NºAsuntos!G23," - ")</f>
        <v>0.3490215264187867</v>
      </c>
      <c r="D23" s="1159">
        <f>IF(ISNUMBER('Resol  Asuntos'!D23/NºAsuntos!G23),'Resol  Asuntos'!D23/NºAsuntos!G23," - ")</f>
        <v>0.24217221135029354</v>
      </c>
      <c r="E23" s="1158">
        <f>IF(ISNUMBER((NºAsuntos!C23+NºAsuntos!E23)/NºAsuntos!G23),(NºAsuntos!C23+NºAsuntos!E23)/NºAsuntos!G23," - ")</f>
        <v>1.3227984344422701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0.96525143766058974</v>
      </c>
      <c r="C31" s="1099">
        <f>IF(ISNUMBER(NºAsuntos!I31/NºAsuntos!G31),NºAsuntos!I31/NºAsuntos!G31," - ")</f>
        <v>0.3635441754341488</v>
      </c>
      <c r="D31" s="1100">
        <f>IF(ISNUMBER('Resol  Asuntos'!D31/NºAsuntos!G31),'Resol  Asuntos'!D31/NºAsuntos!G31," - ")</f>
        <v>0.35838931846030336</v>
      </c>
      <c r="E31" s="1101">
        <f>IF(ISNUMBER((NºAsuntos!C31+NºAsuntos!E31)/NºAsuntos!G31),(NºAsuntos!C31+NºAsuntos!E31)/NºAsuntos!G31," - ")</f>
        <v>1.3534034731905185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qcLWXaEXhAQYrcJl6PqxRLljmkwxJGw1l5khnUJ6eLc64VPSO8g7m07vegtPGadHaBg7JeWsEcufUyUnD5oxA==" saltValue="/n40m4DZLL5/HNRiUjceH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ARABA-ALAVA</v>
      </c>
      <c r="N2" s="368" t="str">
        <f>Criterios!A11 &amp;"  "&amp;Criterios!B11</f>
        <v>Resumenes por Partidos Judiciales  VITORIA-GASTEIZ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321</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1876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4705</v>
      </c>
      <c r="Y9" s="374">
        <f>SUM(W9:X9)</f>
        <v>4705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5971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5005</v>
      </c>
      <c r="AJ9" s="243" t="str">
        <f>IF(ISNUMBER(Datos!BW9),Datos!BW9," - ")</f>
        <v xml:space="preserve"> - </v>
      </c>
      <c r="AK9" s="242" t="str">
        <f>IF(ISNUMBER(Datos!BX9),Datos!BX9," - ")</f>
        <v xml:space="preserve"> - </v>
      </c>
      <c r="AL9" s="266">
        <f>IF(ISNUMBER(NºAsuntos!G9/NºAsuntos!E9),NºAsuntos!G9/NºAsuntos!E9," - ")</f>
        <v>0.91941115410021701</v>
      </c>
      <c r="AM9" s="284">
        <f>IF(ISNUMBER(((NºAsuntos!I9/NºAsuntos!G9)*11)/factor_trimestre),((NºAsuntos!I9/NºAsuntos!G9)*11)/factor_trimestre," - ")</f>
        <v>4.2981627835368981</v>
      </c>
      <c r="AN9" s="267">
        <f>IF(ISNUMBER('Resol  Asuntos'!D9/NºAsuntos!G9),'Resol  Asuntos'!D9/NºAsuntos!G9," - ")</f>
        <v>0.51370214512983681</v>
      </c>
      <c r="AO9" s="268">
        <f>IF(ISNUMBER((NºAsuntos!C9+NºAsuntos!E9)/NºAsuntos!G9),(NºAsuntos!C9+NºAsuntos!E9)/NºAsuntos!G9," - ")</f>
        <v>1.3909473468130966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138</v>
      </c>
      <c r="G10" s="373">
        <f>IF(ISNUMBER(Datos!I10),Datos!I10," - ")</f>
        <v>138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169</v>
      </c>
      <c r="X10" s="240">
        <f>IF(ISNUMBER(Datos!Q10),Datos!Q10," - ")</f>
        <v>66</v>
      </c>
      <c r="Y10" s="374">
        <f t="shared" ref="Y10:Y13" si="0">SUM(W10:X10)</f>
        <v>235</v>
      </c>
      <c r="Z10" s="375" t="str">
        <f>IF(ISNUMBER(Datos!CC10),Datos!CC10," - ")</f>
        <v xml:space="preserve"> - </v>
      </c>
      <c r="AA10" s="372">
        <f>IF(ISNUMBER(Datos!L10),Datos!L10,"-")</f>
        <v>144</v>
      </c>
      <c r="AB10" s="374">
        <f>IF(ISNUMBER(Datos!R10),Datos!R10," - ")</f>
        <v>123</v>
      </c>
      <c r="AC10" s="374">
        <f t="shared" ref="AC10:AC13" si="1">IF(ISNUMBER(AA10+AB10),AA10+AB10," - ")</f>
        <v>267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78</v>
      </c>
      <c r="AJ10" s="245" t="str">
        <f>IF(ISNUMBER(Datos!BW10),Datos!BW10," - ")</f>
        <v xml:space="preserve"> - </v>
      </c>
      <c r="AK10" s="246" t="str">
        <f>IF(ISNUMBER(Datos!BX10),Datos!BX10," - ")</f>
        <v xml:space="preserve"> - </v>
      </c>
      <c r="AL10" s="266">
        <f>IF(ISNUMBER(NºAsuntos!G10/NºAsuntos!E10),NºAsuntos!G10/NºAsuntos!E10," - ")</f>
        <v>0.96571428571428575</v>
      </c>
      <c r="AM10" s="284">
        <f>IF(ISNUMBER(((NºAsuntos!I10/NºAsuntos!G10)*11)/factor_trimestre),((NºAsuntos!I10/NºAsuntos!G10)*11)/factor_trimestre," - ")</f>
        <v>9.3727810650887573</v>
      </c>
      <c r="AN10" s="267">
        <f>IF(ISNUMBER('Resol  Asuntos'!D10/NºAsuntos!G10),'Resol  Asuntos'!D10/NºAsuntos!G10," - ")</f>
        <v>0.46153846153846156</v>
      </c>
      <c r="AO10" s="268">
        <f>IF(ISNUMBER((NºAsuntos!C10+NºAsuntos!E10)/NºAsuntos!G10),(NºAsuntos!C10+NºAsuntos!E10)/NºAsuntos!G10," - ")</f>
        <v>1.8520710059171597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469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1038</v>
      </c>
      <c r="Y11" s="374">
        <f t="shared" si="0"/>
        <v>1038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1164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924</v>
      </c>
      <c r="AJ11" s="245" t="str">
        <f>IF(ISNUMBER(Datos!BW11),Datos!BW11," - ")</f>
        <v xml:space="preserve"> - </v>
      </c>
      <c r="AK11" s="246" t="str">
        <f>IF(ISNUMBER(Datos!BX11),Datos!BX11," - ")</f>
        <v xml:space="preserve"> - </v>
      </c>
      <c r="AL11" s="266">
        <f>IF(ISNUMBER(NºAsuntos!G11/NºAsuntos!E11),NºAsuntos!G11/NºAsuntos!E11," - ")</f>
        <v>0.99943454905286966</v>
      </c>
      <c r="AM11" s="284">
        <f>IF(ISNUMBER(((NºAsuntos!I11/NºAsuntos!G11)*11)/factor_trimestre),((NºAsuntos!I11/NºAsuntos!G11)*11)/factor_trimestre," - ")</f>
        <v>3.3793493635077798</v>
      </c>
      <c r="AN11" s="267">
        <f>IF(ISNUMBER('Resol  Asuntos'!D11/NºAsuntos!G11),'Resol  Asuntos'!D11/NºAsuntos!G11," - ")</f>
        <v>0.2613861386138614</v>
      </c>
      <c r="AO11" s="268">
        <f>IF(ISNUMBER((NºAsuntos!C11+NºAsuntos!E11)/NºAsuntos!G11),(NºAsuntos!C11+NºAsuntos!E11)/NºAsuntos!G11," - ")</f>
        <v>1.3145685997171146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138</v>
      </c>
      <c r="G14" s="1163">
        <f t="shared" si="5"/>
        <v>138</v>
      </c>
      <c r="H14" s="1162">
        <f t="shared" si="5"/>
        <v>0</v>
      </c>
      <c r="I14" s="1164">
        <f t="shared" si="5"/>
        <v>0</v>
      </c>
      <c r="J14" s="1164">
        <f t="shared" si="5"/>
        <v>0</v>
      </c>
      <c r="K14" s="1164">
        <f t="shared" si="5"/>
        <v>0</v>
      </c>
      <c r="L14" s="1164">
        <f t="shared" si="5"/>
        <v>2381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169</v>
      </c>
      <c r="X14" s="1164">
        <f t="shared" si="6"/>
        <v>5809</v>
      </c>
      <c r="Y14" s="1165">
        <f t="shared" si="6"/>
        <v>5978</v>
      </c>
      <c r="Z14" s="1165">
        <f t="shared" si="6"/>
        <v>0</v>
      </c>
      <c r="AA14" s="1165">
        <f t="shared" si="6"/>
        <v>144</v>
      </c>
      <c r="AB14" s="1165">
        <f t="shared" si="6"/>
        <v>7258</v>
      </c>
      <c r="AC14" s="1165">
        <f t="shared" si="6"/>
        <v>267</v>
      </c>
      <c r="AD14" s="1165">
        <f t="shared" si="6"/>
        <v>0</v>
      </c>
      <c r="AE14" s="1169">
        <f t="shared" si="6"/>
        <v>0</v>
      </c>
      <c r="AF14" s="1162">
        <f t="shared" si="6"/>
        <v>0</v>
      </c>
      <c r="AG14" s="1170">
        <f t="shared" si="6"/>
        <v>0</v>
      </c>
      <c r="AH14" s="1167">
        <f t="shared" si="6"/>
        <v>0</v>
      </c>
      <c r="AI14" s="1162">
        <f t="shared" si="6"/>
        <v>6007</v>
      </c>
      <c r="AJ14" s="1164">
        <f t="shared" si="6"/>
        <v>0</v>
      </c>
      <c r="AK14" s="1167">
        <f>SUBTOTAL(9,AK9:AK13)</f>
        <v>0</v>
      </c>
      <c r="AL14" s="1171">
        <f>IF(ISNUMBER(NºAsuntos!G14/NºAsuntos!E14),NºAsuntos!G14/NºAsuntos!E14," - ")</f>
        <v>0.939758194143546</v>
      </c>
      <c r="AM14" s="1171">
        <f>IF(ISNUMBER(((NºAsuntos!I14/NºAsuntos!G14)*11)/factor_trimestre),((NºAsuntos!I14/NºAsuntos!G14)*11)/factor_trimestre," - ")</f>
        <v>4.1203986019186436</v>
      </c>
      <c r="AN14" s="1172">
        <f>IF(ISNUMBER('Resol  Asuntos'!D14/NºAsuntos!G14),'Resol  Asuntos'!D14/NºAsuntos!G14," - ")</f>
        <v>0.44671673979326243</v>
      </c>
      <c r="AO14" s="1173">
        <f>IF(ISNUMBER((NºAsuntos!C14+NºAsuntos!E14)/NºAsuntos!G14),(NºAsuntos!C14+NºAsuntos!E14)/NºAsuntos!G14," - ")</f>
        <v>1.376663939912248</v>
      </c>
      <c r="AP14" s="1174" t="str">
        <f t="shared" si="2"/>
        <v xml:space="preserve"> - </v>
      </c>
      <c r="AQ14" s="1174">
        <f>IF(ISNUMBER((H14-W14+K14)/(F14)),(H14-W14+K14)/(F14)," - ")</f>
        <v>-1.2246376811594204</v>
      </c>
      <c r="AR14" s="1175">
        <f>IF(ISNUMBER((Datos!P14-Datos!Q14)/(Datos!R14-Datos!P14+Datos!Q14)),(Datos!P14-Datos!Q14)/(Datos!R14-Datos!P14+Datos!Q14)," - ")</f>
        <v>-0.32079356166947409</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2929</v>
      </c>
      <c r="G16" s="373">
        <f>IF(ISNUMBER(IF(D_I="SI",Datos!I16,Datos!I16+Datos!AC16)),IF(D_I="SI",Datos!I16,Datos!I16+Datos!AC16)," - ")</f>
        <v>2701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1068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8711</v>
      </c>
      <c r="X16" s="240">
        <f>IF(ISNUMBER(Datos!Q16),Datos!Q16," - ")</f>
        <v>993</v>
      </c>
      <c r="Y16" s="374">
        <f>SUM(W16)</f>
        <v>8711</v>
      </c>
      <c r="Z16" s="375" t="str">
        <f>IF(ISNUMBER(Datos!CC16),Datos!CC16," - ")</f>
        <v xml:space="preserve"> - </v>
      </c>
      <c r="AA16" s="372">
        <f>IF(ISNUMBER(IF(D_I="SI",Datos!L16,Datos!L16+Datos!AF16)),IF(D_I="SI",Datos!L16,Datos!L16+Datos!AF16)," - ")</f>
        <v>2902</v>
      </c>
      <c r="AB16" s="374">
        <f>IF(ISNUMBER(Datos!R16),Datos!R16," - ")</f>
        <v>714</v>
      </c>
      <c r="AC16" s="374">
        <f t="shared" ref="AC16:AC22" si="8">IF(ISNUMBER(AA16+AB16),AA16+AB16," - ")</f>
        <v>3616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2273</v>
      </c>
      <c r="AJ16" s="245" t="str">
        <f>IF(ISNUMBER(Datos!BW16),Datos!BW16," - ")</f>
        <v xml:space="preserve"> - </v>
      </c>
      <c r="AK16" s="246" t="str">
        <f>IF(ISNUMBER(Datos!BX16),Datos!BX16," - ")</f>
        <v xml:space="preserve"> - </v>
      </c>
      <c r="AL16" s="266">
        <f>IF(ISNUMBER(NºAsuntos!G16/NºAsuntos!E16),NºAsuntos!G16/NºAsuntos!E16," - ")</f>
        <v>1.0031091662828189</v>
      </c>
      <c r="AM16" s="284">
        <f>IF(ISNUMBER(((NºAsuntos!I16/NºAsuntos!G16)*11)/factor_trimestre),((NºAsuntos!I16/NºAsuntos!G16)*11)/factor_trimestre," - ")</f>
        <v>3.6645620479853056</v>
      </c>
      <c r="AN16" s="267">
        <f>IF(ISNUMBER('Resol  Asuntos'!D16/NºAsuntos!G16),'Resol  Asuntos'!D16/NºAsuntos!G16," - ")</f>
        <v>0.26093445069452414</v>
      </c>
      <c r="AO16" s="268">
        <f>IF(ISNUMBER((NºAsuntos!C16+NºAsuntos!E16)/NºAsuntos!G16),(NºAsuntos!C16+NºAsuntos!E16)/NºAsuntos!G16," - ")</f>
        <v>1.3069682011250143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608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1509</v>
      </c>
      <c r="X18" s="240">
        <f>IF(ISNUMBER(Datos!Q18),Datos!Q18," - ")</f>
        <v>6</v>
      </c>
      <c r="Y18" s="374">
        <f t="shared" si="9"/>
        <v>1515</v>
      </c>
      <c r="Z18" s="375" t="str">
        <f>IF(ISNUMBER(Datos!CC18),Datos!CC18," - ")</f>
        <v xml:space="preserve"> - </v>
      </c>
      <c r="AA18" s="372">
        <f>IF(ISNUMBER(Datos!L18),Datos!L18,"-")</f>
        <v>665</v>
      </c>
      <c r="AB18" s="374">
        <f>IF(ISNUMBER(Datos!R18),Datos!R18," - ")</f>
        <v>4</v>
      </c>
      <c r="AC18" s="374">
        <f t="shared" si="8"/>
        <v>669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202</v>
      </c>
      <c r="AJ18" s="245" t="str">
        <f>IF(ISNUMBER(Datos!BW18),Datos!BW18," - ")</f>
        <v xml:space="preserve"> - </v>
      </c>
      <c r="AK18" s="246" t="str">
        <f>IF(ISNUMBER(Datos!BX18),Datos!BX18," - ")</f>
        <v xml:space="preserve"> - </v>
      </c>
      <c r="AL18" s="266">
        <f>IF(ISNUMBER(NºAsuntos!G18/NºAsuntos!E18),NºAsuntos!G18/NºAsuntos!E18," - ")</f>
        <v>0.98885976408912191</v>
      </c>
      <c r="AM18" s="284">
        <f>IF(ISNUMBER(((NºAsuntos!I18/NºAsuntos!G18)*11)/factor_trimestre),((NºAsuntos!I18/NºAsuntos!G18)*11)/factor_trimestre," - ")</f>
        <v>4.8475811795891319</v>
      </c>
      <c r="AN18" s="267">
        <f>IF(ISNUMBER('Resol  Asuntos'!D18/NºAsuntos!G18),'Resol  Asuntos'!D18/NºAsuntos!G18," - ")</f>
        <v>0.13386348575215373</v>
      </c>
      <c r="AO18" s="268">
        <f>IF(ISNUMBER((NºAsuntos!C18+NºAsuntos!E18)/NºAsuntos!G18),(NºAsuntos!C18+NºAsuntos!E18)/NºAsuntos!G18," - ")</f>
        <v>1.4141815772034461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2929</v>
      </c>
      <c r="G23" s="1163">
        <f>SUBTOTAL(9,G16:G22)</f>
        <v>3309</v>
      </c>
      <c r="H23" s="1162">
        <f t="shared" ref="H23:O23" si="13">SUBTOTAL(9,H15:H22)</f>
        <v>0</v>
      </c>
      <c r="I23" s="1164">
        <f t="shared" si="13"/>
        <v>0</v>
      </c>
      <c r="J23" s="1164">
        <f t="shared" si="13"/>
        <v>0</v>
      </c>
      <c r="K23" s="1164">
        <f t="shared" si="13"/>
        <v>0</v>
      </c>
      <c r="L23" s="1164">
        <f t="shared" si="13"/>
        <v>1076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10220</v>
      </c>
      <c r="X23" s="1164">
        <f t="shared" si="14"/>
        <v>999</v>
      </c>
      <c r="Y23" s="1165">
        <f t="shared" si="14"/>
        <v>10226</v>
      </c>
      <c r="Z23" s="1165">
        <f t="shared" si="14"/>
        <v>0</v>
      </c>
      <c r="AA23" s="1165">
        <f t="shared" si="14"/>
        <v>3567</v>
      </c>
      <c r="AB23" s="1165">
        <f t="shared" si="14"/>
        <v>718</v>
      </c>
      <c r="AC23" s="1165">
        <f t="shared" si="14"/>
        <v>4285</v>
      </c>
      <c r="AD23" s="1165">
        <f t="shared" si="14"/>
        <v>0</v>
      </c>
      <c r="AE23" s="1169">
        <f t="shared" si="14"/>
        <v>0</v>
      </c>
      <c r="AF23" s="1162">
        <f t="shared" si="14"/>
        <v>0</v>
      </c>
      <c r="AG23" s="1170">
        <f t="shared" si="14"/>
        <v>0</v>
      </c>
      <c r="AH23" s="1167">
        <f t="shared" si="14"/>
        <v>0</v>
      </c>
      <c r="AI23" s="1162">
        <f t="shared" si="14"/>
        <v>2475</v>
      </c>
      <c r="AJ23" s="1164">
        <f t="shared" si="14"/>
        <v>0</v>
      </c>
      <c r="AK23" s="1167">
        <f t="shared" si="14"/>
        <v>0</v>
      </c>
      <c r="AL23" s="1171">
        <f>IF(ISNUMBER(NºAsuntos!G23/NºAsuntos!E23),NºAsuntos!G23/NºAsuntos!E23," - ")</f>
        <v>1.0009794319294809</v>
      </c>
      <c r="AM23" s="1171">
        <f>IF(ISNUMBER(((NºAsuntos!I23/NºAsuntos!G23)*11)/factor_trimestre),((NºAsuntos!I23/NºAsuntos!G23)*11)/factor_trimestre," - ")</f>
        <v>3.8392367906066536</v>
      </c>
      <c r="AN23" s="1172">
        <f>IF(ISNUMBER('Resol  Asuntos'!D23/NºAsuntos!G23),'Resol  Asuntos'!D23/NºAsuntos!G23," - ")</f>
        <v>0.24217221135029354</v>
      </c>
      <c r="AO23" s="1173">
        <f>IF(ISNUMBER((NºAsuntos!C23+NºAsuntos!E23)/NºAsuntos!G23),(NºAsuntos!C23+NºAsuntos!E23)/NºAsuntos!G23," - ")</f>
        <v>1.3227984344422701</v>
      </c>
      <c r="AP23" s="1174" t="str">
        <f t="shared" si="2"/>
        <v xml:space="preserve"> - </v>
      </c>
      <c r="AQ23" s="1174">
        <f>IF(ISNUMBER((H23-W23+K23)/(F23)),(H23-W23+K23)/(F23)," - ")</f>
        <v>-3.4892454762717651</v>
      </c>
      <c r="AR23" s="1175">
        <f>IF(ISNUMBER((Datos!P23-Datos!Q23)/(Datos!R23-Datos!P23+Datos!Q23)),(Datos!P23-Datos!Q23)/(Datos!R23-Datos!P23+Datos!Q23)," - ")</f>
        <v>0.12012480499219969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3067</v>
      </c>
      <c r="G31" s="1118">
        <f t="shared" si="20"/>
        <v>3447</v>
      </c>
      <c r="H31" s="1117">
        <f t="shared" si="20"/>
        <v>0</v>
      </c>
      <c r="I31" s="1119">
        <f t="shared" si="20"/>
        <v>0</v>
      </c>
      <c r="J31" s="1119">
        <f t="shared" si="20"/>
        <v>0</v>
      </c>
      <c r="K31" s="1180">
        <f t="shared" si="20"/>
        <v>0</v>
      </c>
      <c r="L31" s="1119">
        <f t="shared" si="20"/>
        <v>3457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10389</v>
      </c>
      <c r="X31" s="1118">
        <f t="shared" si="21"/>
        <v>6808</v>
      </c>
      <c r="Y31" s="1125">
        <f t="shared" si="21"/>
        <v>16204</v>
      </c>
      <c r="Z31" s="1125">
        <f t="shared" si="21"/>
        <v>0</v>
      </c>
      <c r="AA31" s="1125">
        <f t="shared" si="21"/>
        <v>3711</v>
      </c>
      <c r="AB31" s="1125">
        <f t="shared" si="21"/>
        <v>7976</v>
      </c>
      <c r="AC31" s="1125">
        <f t="shared" si="21"/>
        <v>4552</v>
      </c>
      <c r="AD31" s="1125">
        <f t="shared" si="21"/>
        <v>0</v>
      </c>
      <c r="AE31" s="1127">
        <f t="shared" si="21"/>
        <v>0</v>
      </c>
      <c r="AF31" s="1128">
        <f t="shared" si="21"/>
        <v>0</v>
      </c>
      <c r="AG31" s="1129">
        <f t="shared" si="21"/>
        <v>0</v>
      </c>
      <c r="AH31" s="1127">
        <f t="shared" si="21"/>
        <v>0</v>
      </c>
      <c r="AI31" s="1117">
        <f t="shared" si="21"/>
        <v>8482</v>
      </c>
      <c r="AJ31" s="1117">
        <f t="shared" si="21"/>
        <v>0</v>
      </c>
      <c r="AK31" s="1127">
        <f t="shared" si="21"/>
        <v>0</v>
      </c>
      <c r="AL31" s="1183">
        <f>IF(ISNUMBER(NºAsuntos!G31/NºAsuntos!E31),NºAsuntos!G31/NºAsuntos!E31," - ")</f>
        <v>0.96525143766058974</v>
      </c>
      <c r="AM31" s="1184">
        <f>IF(ISNUMBER(((NºAsuntos!I31/NºAsuntos!G31)*11)/factor_trimestre),((NºAsuntos!I31/NºAsuntos!G31)*11)/factor_trimestre," - ")</f>
        <v>3.9989859297756367</v>
      </c>
      <c r="AN31" s="1184">
        <f>IF(ISNUMBER('Resol  Asuntos'!D31/NºAsuntos!G31),'Resol  Asuntos'!D31/NºAsuntos!G31," - ")</f>
        <v>0.35838931846030336</v>
      </c>
      <c r="AO31" s="1185">
        <f>IF(ISNUMBER((NºAsuntos!C31+NºAsuntos!E31)/NºAsuntos!G31),(NºAsuntos!C31+NºAsuntos!E31)/NºAsuntos!G31," - ")</f>
        <v>1.3534034731905185</v>
      </c>
      <c r="AP31" s="1186" t="str">
        <f t="shared" si="2"/>
        <v xml:space="preserve"> - </v>
      </c>
      <c r="AQ31" s="1187">
        <f>IF(OR(ISNUMBER(FIND("01",Criterios!A8,1)),ISNUMBER(FIND("02",Criterios!A8,1)),ISNUMBER(FIND("03",Criterios!A8,1)),ISNUMBER(FIND("04",Criterios!A8,1))),(I31-W31+K31)/(F31-K31),(H31-W31+K31)/(F31-K31))</f>
        <v>-3.3873492011737856</v>
      </c>
      <c r="AR31" s="1188">
        <f>IF(ISNUMBER((Datos!P31-Datos!Q31)/(Datos!R31-Datos!P31+Datos!Q31)),(Datos!P31-Datos!Q31)/(Datos!R31-Datos!P31+Datos!Q31)," - ")</f>
        <v>-0.29584179394367438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984.85714285714289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2.8735535390036615</v>
      </c>
      <c r="F33" s="276">
        <f>IF(ISNUMBER(STDEV(F8:F30)),STDEV(F8:F30),"-")</f>
        <v>1478.1865466397217</v>
      </c>
      <c r="G33" s="277">
        <f>IF(ISNUMBER(STDEV(G8:G30)),STDEV(G8:G30),"-")</f>
        <v>1406.1192965714099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4490.5286145503223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2273.5335078047806</v>
      </c>
      <c r="AJ33" s="276">
        <f t="shared" si="25"/>
        <v>0</v>
      </c>
      <c r="AK33" s="278">
        <f t="shared" si="25"/>
        <v>0</v>
      </c>
      <c r="AL33" s="273">
        <f t="shared" si="25"/>
        <v>3.3326620387226398E-2</v>
      </c>
      <c r="AM33" s="274">
        <f t="shared" si="25"/>
        <v>2.0758915861861293</v>
      </c>
      <c r="AN33" s="274">
        <f t="shared" si="25"/>
        <v>0.14160838677630225</v>
      </c>
      <c r="AO33" s="275">
        <f t="shared" si="25"/>
        <v>0.19260189421802662</v>
      </c>
      <c r="AP33" s="317" t="str">
        <f t="shared" si="25"/>
        <v>-</v>
      </c>
      <c r="AQ33" s="318">
        <f t="shared" si="25"/>
        <v>1.6013195286518542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BjCfpe198bp3mWExVDY7TFJrYI7EyT4SNzsy1FUKLzLJN2VVP7ZKB/g19eG/izdJ4nK6Wc3EQDXQxtscgz61rA==" saltValue="8TghfXbItXVqE6reequ5u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ARABA-ALAVA</v>
      </c>
      <c r="E3" s="287"/>
    </row>
    <row r="4" spans="2:20" ht="17.25" customHeight="1" thickBot="1">
      <c r="D4" s="286" t="str">
        <f>Criterios!A11 &amp;"  "&amp;Criterios!B11</f>
        <v>Resumenes por Partidos Judiciales  VITORIA-GASTEIZ</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9.6625766871165641E-2</v>
      </c>
      <c r="I9" s="395">
        <f>IF(ISNUMBER((Tasas!C9-Datos!BE9)/Datos!BE9),(Tasas!C9-Datos!BE9)/Datos!BE9," - ")</f>
        <v>0.30234133994938966</v>
      </c>
      <c r="J9" s="394">
        <f>IF(ISNUMBER((Tasas!D9-Datos!BF9)/Datos!BF9),(Tasas!D9-Datos!BF9)/Datos!BF9," - ")</f>
        <v>1.4608231650699233</v>
      </c>
      <c r="K9" s="396">
        <f>IF(ISNUMBER((Tasas!E9-Datos!BG9)/Datos!BG9),(Tasas!E9-Datos!BG9)/Datos!BG9," - ")</f>
        <v>6.9683799388005757E-2</v>
      </c>
      <c r="M9" t="e">
        <f>IF(Monitorios="SI",Datos!CE9,0)</f>
        <v>#REF!</v>
      </c>
      <c r="N9" t="e">
        <f>IF(Monitorios="SI",Datos!CF9,0)</f>
        <v>#REF!</v>
      </c>
      <c r="O9" t="e">
        <f>IF(Monitorios="SI",Datos!CG9,0)</f>
        <v>#REF!</v>
      </c>
      <c r="P9" t="e">
        <f>IF(Monitorios="SI",Datos!CH9,0)</f>
        <v>#REF!</v>
      </c>
      <c r="Q9">
        <f>IF(J_V="SI",0,Datos!AG9)</f>
        <v>144</v>
      </c>
      <c r="R9">
        <f>IF(J_V="SI",0,Datos!AH9)</f>
        <v>822</v>
      </c>
      <c r="S9">
        <f>IF(J_V="SI",0,Datos!AI9)</f>
        <v>885</v>
      </c>
      <c r="T9">
        <f>IF(J_V="SI",0,Datos!AJ9)</f>
        <v>81</v>
      </c>
    </row>
    <row r="10" spans="2:20" ht="14.25">
      <c r="B10" s="300" t="s">
        <v>321</v>
      </c>
      <c r="C10" s="7" t="str">
        <f>Datos!A10</f>
        <v>Jdos. Violencia contra la mujer</v>
      </c>
      <c r="D10" s="397">
        <f>IF(ISNUMBER((Datos!I10-Datos!S10)/Datos!S10),(Datos!I10-Datos!S10)/Datos!S10," - ")</f>
        <v>-0.21590909090909091</v>
      </c>
      <c r="E10" s="393">
        <f>IF(ISNUMBER((Datos!J10-Datos!T10)/Datos!T10),(Datos!J10-Datos!T10)/Datos!T10," - ")</f>
        <v>-0.20091324200913241</v>
      </c>
      <c r="F10" s="393">
        <f>IF(ISNUMBER((Datos!K10-Datos!U10)/Datos!U10),(Datos!K10-Datos!U10)/Datos!U10," - ")</f>
        <v>-0.34241245136186771</v>
      </c>
      <c r="G10" s="394">
        <f>IF(ISNUMBER((Datos!L10-Datos!V10)/Datos!V10),(Datos!L10-Datos!V10)/Datos!V10," - ")</f>
        <v>4.3478260869565216E-2</v>
      </c>
      <c r="H10" s="244">
        <f>IF(ISNUMBER((Datos!M10-Datos!W10)/Datos!W10),(Datos!M10-Datos!W10)/Datos!W10," - ")</f>
        <v>-0.17894736842105263</v>
      </c>
      <c r="I10" s="395">
        <f>IF(ISNUMBER((Tasas!C10-Datos!BE10)/Datos!BE10),(Tasas!C10-Datos!BE10)/Datos!BE10," - ")</f>
        <v>0.58682788783123241</v>
      </c>
      <c r="J10" s="394">
        <f>IF(ISNUMBER((Tasas!D10-Datos!BF10)/Datos!BF10),(Tasas!D10-Datos!BF10)/Datos!BF10," - ")</f>
        <v>0.248582995951417</v>
      </c>
      <c r="K10" s="396">
        <f>IF(ISNUMBER((Tasas!E10-Datos!BG10)/Datos!BG10),(Tasas!E10-Datos!BG10)/Datos!BG10," - ")</f>
        <v>0.2050183506853418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-0.11494252873563218</v>
      </c>
      <c r="I11" s="395">
        <f>IF(ISNUMBER((Tasas!C11-Datos!BE11)/Datos!BE11),(Tasas!C11-Datos!BE11)/Datos!BE11," - ")</f>
        <v>2.5429106617225531E-2</v>
      </c>
      <c r="J11" s="394">
        <f>IF(ISNUMBER((Tasas!D11-Datos!BF11)/Datos!BF11),(Tasas!D11-Datos!BF11)/Datos!BF11," - ")</f>
        <v>-0.44597503228583724</v>
      </c>
      <c r="K11" s="396">
        <f>IF(ISNUMBER((Tasas!E11-Datos!BG11)/Datos!BG11),(Tasas!E11-Datos!BG11)/Datos!BG11," - ")</f>
        <v>-7.4431094453007432E-3</v>
      </c>
      <c r="M11" t="e">
        <f>IF(Monitorios="SI",Datos!CE11,0)</f>
        <v>#REF!</v>
      </c>
      <c r="N11" t="e">
        <f>IF(Monitorios="SI",Datos!CF11,0)</f>
        <v>#REF!</v>
      </c>
      <c r="O11" t="e">
        <f>IF(Monitorios="SI",Datos!CG11,0)</f>
        <v>#REF!</v>
      </c>
      <c r="P11" t="e">
        <f>IF(Monitorios="SI",Datos!CH11,0)</f>
        <v>#REF!</v>
      </c>
      <c r="Q11">
        <f>IF(J_V="SI",0,Datos!AG11)</f>
        <v>107</v>
      </c>
      <c r="R11">
        <f>IF(J_V="SI",0,Datos!AH11)</f>
        <v>1230</v>
      </c>
      <c r="S11">
        <f>IF(J_V="SI",0,Datos!AI11)</f>
        <v>1184</v>
      </c>
      <c r="T11">
        <f>IF(J_V="SI",0,Datos!AJ11)</f>
        <v>153</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5.3305277923899705E-2</v>
      </c>
      <c r="I14" s="402">
        <f>IF(ISNUMBER((Tasas!C14-Datos!BE14)/Datos!BE14),(Tasas!C14-Datos!BE14)/Datos!BE14," - ")</f>
        <v>0.23087026779785824</v>
      </c>
      <c r="J14" s="400">
        <f>IF(ISNUMBER((Tasas!D14-Datos!BF14)/Datos!BF14),(Tasas!D14-Datos!BF14)/Datos!BF14," - ")</f>
        <v>0.58235570486913257</v>
      </c>
      <c r="K14" s="403">
        <f>IF(ISNUMBER((Tasas!E14-Datos!BG14)/Datos!BG14),(Tasas!E14-Datos!BG14)/Datos!BG14," - ")</f>
        <v>4.9925764764926675E-2</v>
      </c>
      <c r="M14" t="e">
        <f>IF(Monitorios="SI",Datos!CE14,0)</f>
        <v>#REF!</v>
      </c>
      <c r="N14" t="e">
        <f>IF(Monitorios="SI",Datos!CF14,0)</f>
        <v>#REF!</v>
      </c>
      <c r="O14" t="e">
        <f>IF(Monitorios="SI",Datos!CG14,0)</f>
        <v>#REF!</v>
      </c>
      <c r="P14" t="e">
        <f>IF(Monitorios="SI",Datos!CH14,0)</f>
        <v>#REF!</v>
      </c>
      <c r="Q14">
        <f>IF(J_V="SI",0,Datos!AG14)</f>
        <v>251</v>
      </c>
      <c r="R14">
        <f>IF(J_V="SI",0,Datos!AH14)</f>
        <v>2052</v>
      </c>
      <c r="S14">
        <f>IF(J_V="SI",0,Datos!AI14)</f>
        <v>2069</v>
      </c>
      <c r="T14">
        <f>IF(J_V="SI",0,Datos!AJ14)</f>
        <v>234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2.6605853287723299E-2</v>
      </c>
      <c r="E16" s="393">
        <f>IF(ISNUMBER(
   IF(D_I="SI",(Datos!J16-Datos!T16)/Datos!T16,(Datos!J16+Datos!AD16-(Datos!T16+Datos!AL16))/(Datos!T16+Datos!AL16))
     ),IF(D_I="SI",(Datos!J16-Datos!T16)/Datos!T16,(Datos!J16+Datos!AD16-(Datos!T16+Datos!AL16))/(Datos!T16+Datos!AL16))," - ")</f>
        <v>3.8383355255291164E-2</v>
      </c>
      <c r="F16" s="393">
        <f>IF(ISNUMBER(
   IF(D_I="SI",(Datos!K16-Datos!U16)/Datos!U16,(Datos!K16+Datos!AE16-(Datos!U16+Datos!AM16))/(Datos!U16+Datos!AM16))
     ),IF(D_I="SI",(Datos!K16-Datos!U16)/Datos!U16,(Datos!K16+Datos!AE16-(Datos!U16+Datos!AM16))/(Datos!U16+Datos!AM16))," - ")</f>
        <v>1.6097048874373032E-2</v>
      </c>
      <c r="G16" s="394">
        <f>IF(ISNUMBER(
   IF(D_I="SI",(Datos!L16-Datos!V16)/Datos!V16,(Datos!L16+Datos!AF16-(Datos!V16+Datos!AN16))/(Datos!V16+Datos!AN16))
     ),IF(D_I="SI",(Datos!L16-Datos!V16)/Datos!V16,(Datos!L16+Datos!AF16-(Datos!V16+Datos!AN16))/(Datos!V16+Datos!AN16))," - ")</f>
        <v>7.4416882636060722E-2</v>
      </c>
      <c r="H16" s="244">
        <f>IF(ISNUMBER((Datos!M16-Datos!W16)/Datos!W16),(Datos!M16-Datos!W16)/Datos!W16," - ")</f>
        <v>-4.7359597652975691E-2</v>
      </c>
      <c r="I16" s="395">
        <f>IF(ISNUMBER((Tasas!C16-Datos!BE16)/Datos!BE16),(Tasas!C16-Datos!BE16)/Datos!BE16," - ")</f>
        <v>5.7395928692337075E-2</v>
      </c>
      <c r="J16" s="394">
        <f>IF(ISNUMBER((Tasas!D16-Datos!BF16)/Datos!BF16),(Tasas!D16-Datos!BF16)/Datos!BF16," - ")</f>
        <v>-6.2451363870848584E-2</v>
      </c>
      <c r="K16" s="396">
        <f>IF(ISNUMBER((Tasas!E16-Datos!BG16)/Datos!BG16),(Tasas!E16-Datos!BG16)/Datos!BG16," - ")</f>
        <v>1.9159394964957919E-2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-0.2371392722710163</v>
      </c>
      <c r="E18" s="393">
        <f>IF(ISNUMBER(
   IF(D_I="SI",(Datos!J18-Datos!T18)/Datos!T18,(Datos!J18+Datos!AD18-(Datos!T18+Datos!AL18))/(Datos!T18+Datos!AL18))
     ),IF(D_I="SI",(Datos!J18-Datos!T18)/Datos!T18,(Datos!J18+Datos!AD18-(Datos!T18+Datos!AL18))/(Datos!T18+Datos!AL18))," - ")</f>
        <v>0.30987124463519311</v>
      </c>
      <c r="F18" s="393">
        <f>IF(ISNUMBER(
   IF(D_I="SI",(Datos!K18-Datos!U18)/Datos!U18,(Datos!K18+Datos!AE18-(Datos!U18+Datos!AM18))/(Datos!U18+Datos!AM18))
     ),IF(D_I="SI",(Datos!K18-Datos!U18)/Datos!U18,(Datos!K18+Datos!AE18-(Datos!U18+Datos!AM18))/(Datos!U18+Datos!AM18))," - ")</f>
        <v>8.5611510791366904E-2</v>
      </c>
      <c r="G18" s="394">
        <f>IF(ISNUMBER(
   IF(D_I="SI",(Datos!L18-Datos!V18)/Datos!V18,(Datos!L18+Datos!AF18-(Datos!V18+Datos!AN18))/(Datos!V18+Datos!AN18))
     ),IF(D_I="SI",(Datos!L18-Datos!V18)/Datos!V18,(Datos!L18+Datos!AF18-(Datos!V18+Datos!AN18))/(Datos!V18+Datos!AN18))," - ")</f>
        <v>9.375E-2</v>
      </c>
      <c r="H18" s="244">
        <f>IF(ISNUMBER((Datos!M18-Datos!W18)/Datos!W18),(Datos!M18-Datos!W18)/Datos!W18," - ")</f>
        <v>0.2392638036809816</v>
      </c>
      <c r="I18" s="395">
        <f>IF(ISNUMBER((Tasas!C18-Datos!BE18)/Datos!BE18),(Tasas!C18-Datos!BE18)/Datos!BE18," - ")</f>
        <v>7.4966865473824681E-3</v>
      </c>
      <c r="J18" s="394">
        <f>IF(ISNUMBER((Tasas!D18-Datos!BF18)/Datos!BF18),(Tasas!D18-Datos!BF18)/Datos!BF18," - ")</f>
        <v>0.14153524659812081</v>
      </c>
      <c r="K18" s="396">
        <f>IF(ISNUMBER((Tasas!E18-Datos!BG18)/Datos!BG18),(Tasas!E18-Datos!BG18)/Datos!BG18," - ")</f>
        <v>1.892146948414883E-3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-3.4714119019836641E-2</v>
      </c>
      <c r="E23" s="399">
        <f>IF(ISNUMBER(
   IF(D_I="SI",(Datos!J23-Datos!T23)/Datos!T23,(Datos!J23+Datos!AD23-(Datos!T23+Datos!AL23))/(Datos!T23+Datos!AL23))
     ),IF(D_I="SI",(Datos!J23-Datos!T23)/Datos!T23,(Datos!J23+Datos!AD23-(Datos!T23+Datos!AL23))/(Datos!T23+Datos!AL23))," - ")</f>
        <v>7.1578505457598654E-2</v>
      </c>
      <c r="F23" s="399">
        <f>IF(ISNUMBER(
   IF(D_I="SI",(Datos!K23-Datos!U23)/Datos!U23,(Datos!K23+Datos!AE23-(Datos!U23+Datos!AM23))/(Datos!U23+Datos!AM23))
     ),IF(D_I="SI",(Datos!K23-Datos!U23)/Datos!U23,(Datos!K23+Datos!AE23-(Datos!U23+Datos!AM23))/(Datos!U23+Datos!AM23))," - ")</f>
        <v>2.579544313961658E-2</v>
      </c>
      <c r="G23" s="400">
        <f>IF(ISNUMBER(
   IF(D_I="SI",(Datos!L23-Datos!V23)/Datos!V23,(Datos!L23+Datos!AF23-(Datos!V23+Datos!AN23))/(Datos!V23+Datos!AN23))
     ),IF(D_I="SI",(Datos!L23-Datos!V23)/Datos!V23,(Datos!L23+Datos!AF23-(Datos!V23+Datos!AN23))/(Datos!V23+Datos!AN23))," - ")</f>
        <v>7.7969174977334549E-2</v>
      </c>
      <c r="H23" s="401">
        <f>IF(ISNUMBER((Datos!M23-Datos!W23)/Datos!W23),(Datos!M23-Datos!W23)/Datos!W23," - ")</f>
        <v>-2.9030992546096507E-2</v>
      </c>
      <c r="I23" s="402">
        <f>IF(ISNUMBER((Tasas!C23-Datos!BE23)/Datos!BE23),(Tasas!C23-Datos!BE23)/Datos!BE23," - ")</f>
        <v>5.0861730949039494E-2</v>
      </c>
      <c r="J23" s="400">
        <f>IF(ISNUMBER((Tasas!D23-Datos!BF23)/Datos!BF23),(Tasas!D23-Datos!BF23)/Datos!BF23," - ")</f>
        <v>-5.3447727860739633E-2</v>
      </c>
      <c r="K23" s="403">
        <f>IF(ISNUMBER((Tasas!E23-Datos!BG23)/Datos!BG23),(Tasas!E23-Datos!BG23)/Datos!BG23," - ")</f>
        <v>1.7215251802125346E-2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-6.7433558111860371E-3</v>
      </c>
      <c r="E31" s="409">
        <f>IF(ISNUMBER(
   IF(J_V="SI",(Datos!J31-Datos!T31)/Datos!T31,(Datos!J31+Datos!Z31-(Datos!T31+Datos!AH31))/(Datos!T31+Datos!AH31))
     ),IF(J_V="SI",(Datos!J31-Datos!T31)/Datos!T31,(Datos!J31+Datos!Z31-(Datos!T31+Datos!AH31))/(Datos!T31+Datos!AH31))," - ")</f>
        <v>4.3272912943579267E-2</v>
      </c>
      <c r="F31" s="409">
        <f>IF(ISNUMBER(
   IF(J_V="SI",(Datos!K31-Datos!U31)/Datos!U31,(Datos!K31+Datos!AA31-(Datos!U31+Datos!AI31))/(Datos!U31+Datos!AI31))
     ),IF(J_V="SI",(Datos!K31-Datos!U31)/Datos!U31,(Datos!K31+Datos!AA31-(Datos!U31+Datos!AI31))/(Datos!U31+Datos!AI31))," - ")</f>
        <v>-4.5007150668797844E-3</v>
      </c>
      <c r="G31" s="410">
        <f>IF(ISNUMBER(
   IF(J_V="SI",(Datos!L31-Datos!V31)/Datos!V31,(Datos!L31+Datos!AB31-(Datos!V31+Datos!AJ31))/(Datos!V31+Datos!AJ31))
     ),IF(J_V="SI",(Datos!L31-Datos!V31)/Datos!V31,(Datos!L31+Datos!AB31-(Datos!V31+Datos!AJ31))/(Datos!V31+Datos!AJ31))," - ")</f>
        <v>0.14536741214057508</v>
      </c>
      <c r="H31" s="411">
        <f>IF(ISNUMBER((Datos!M31-Datos!W31)/Datos!W31),(Datos!M31-Datos!W31)/Datos!W31," - ")</f>
        <v>2.7872031022782354E-2</v>
      </c>
      <c r="I31" s="408">
        <f>IF(ISNUMBER((Tasas!C31-Datos!BE31)/Datos!BE31),(Tasas!C31-Datos!BE31)/Datos!BE31," - ")</f>
        <v>0.15054569046478342</v>
      </c>
      <c r="J31" s="409">
        <f>IF(ISNUMBER((Tasas!D31-Datos!BF31)/Datos!BF31),(Tasas!D31-Datos!BF31)/Datos!BF31," - ")</f>
        <v>0.32139386741241494</v>
      </c>
      <c r="K31" s="410">
        <f>IF(ISNUMBER((Tasas!E31-Datos!BG31)/Datos!BG31),(Tasas!E31-Datos!BG31)/Datos!BG31," - ")</f>
        <v>3.5757739308913176E-2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0.13114667664042892</v>
      </c>
      <c r="E33" s="303">
        <f t="shared" si="1"/>
        <v>0.20896698848501971</v>
      </c>
      <c r="F33" s="303">
        <f t="shared" si="1"/>
        <v>0.19489632045578767</v>
      </c>
      <c r="G33" s="304">
        <f t="shared" si="1"/>
        <v>2.103467746817142E-2</v>
      </c>
      <c r="H33" s="310">
        <f t="shared" si="1"/>
        <v>0.14005577891527626</v>
      </c>
      <c r="I33" s="302">
        <f t="shared" si="1"/>
        <v>0.21151119329486151</v>
      </c>
      <c r="J33" s="303">
        <f t="shared" si="1"/>
        <v>0.6137726324204128</v>
      </c>
      <c r="K33" s="304">
        <f t="shared" si="1"/>
        <v>7.3091221309439597E-2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zty7lJEy6zL938g/RJdcJ5N420cXjOaeK9mkz5ZxbCVe1q4bF0klLDvHnmuObExRz3DmMprGZo1RONNkxNIgw==" saltValue="VoDJLz6ChO5vlr2SCyvV8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